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976" yWindow="300" windowWidth="16260" windowHeight="4860" tabRatio="686" activeTab="4"/>
  </bookViews>
  <sheets>
    <sheet name="Ret. y Efic. Term. Sist. CETYS" sheetId="8" r:id="rId1"/>
    <sheet name="Dist. de Género Sistema CETYS" sheetId="12" r:id="rId2"/>
    <sheet name="Conclusiones Sistema CETYS" sheetId="10" r:id="rId3"/>
    <sheet name="Ret. y Efic. Term. por Colegio" sheetId="4" r:id="rId4"/>
    <sheet name="Género por Colegio" sheetId="11" r:id="rId5"/>
    <sheet name="Conclusiones por Colegio" sheetId="3" r:id="rId6"/>
    <sheet name="Ret. y Efic. AYN por Campus" sheetId="5" r:id="rId7"/>
    <sheet name="Ret. y Efic. CSYH por Campus " sheetId="6" r:id="rId8"/>
    <sheet name="Ret. y Efic. ING por Campus" sheetId="7" r:id="rId9"/>
  </sheets>
  <calcPr calcId="145621"/>
</workbook>
</file>

<file path=xl/calcChain.xml><?xml version="1.0" encoding="utf-8"?>
<calcChain xmlns="http://schemas.openxmlformats.org/spreadsheetml/2006/main">
  <c r="K10" i="12" l="1"/>
  <c r="K9" i="12"/>
  <c r="J10" i="12"/>
  <c r="J9" i="12"/>
  <c r="I10" i="12"/>
  <c r="I9" i="12"/>
  <c r="H10" i="12"/>
  <c r="H9" i="12"/>
  <c r="G10" i="12"/>
  <c r="G9" i="12"/>
  <c r="F10" i="12"/>
  <c r="F9" i="12"/>
  <c r="E10" i="12"/>
  <c r="E9" i="12"/>
  <c r="D10" i="12"/>
  <c r="D9" i="12"/>
  <c r="C10" i="12"/>
  <c r="C9" i="12"/>
  <c r="K8" i="12"/>
  <c r="J8" i="12"/>
  <c r="I8" i="12"/>
  <c r="H8" i="12"/>
  <c r="G8" i="12"/>
  <c r="F8" i="12"/>
  <c r="E8" i="12"/>
  <c r="D8" i="12"/>
  <c r="C8" i="12"/>
  <c r="L8" i="12" l="1"/>
  <c r="M8" i="12"/>
  <c r="M9" i="12" l="1"/>
  <c r="L9" i="12"/>
  <c r="O8" i="12"/>
  <c r="N8" i="12"/>
  <c r="L10" i="12"/>
  <c r="M10" i="12"/>
  <c r="O9" i="12" l="1"/>
  <c r="N9" i="12"/>
  <c r="N10" i="12"/>
  <c r="O10" i="12"/>
  <c r="K16" i="11" l="1"/>
  <c r="K15" i="11"/>
  <c r="K14" i="11"/>
  <c r="J16" i="11"/>
  <c r="J15" i="11"/>
  <c r="J14" i="11"/>
  <c r="I16" i="11"/>
  <c r="H15" i="11"/>
  <c r="I15" i="11"/>
  <c r="I14" i="11"/>
  <c r="H16" i="11"/>
  <c r="H14" i="11"/>
  <c r="G16" i="11"/>
  <c r="G15" i="11"/>
  <c r="G14" i="11"/>
  <c r="F16" i="11"/>
  <c r="F15" i="11"/>
  <c r="F14" i="11"/>
  <c r="E16" i="11"/>
  <c r="E15" i="11"/>
  <c r="E14" i="11"/>
  <c r="D16" i="11"/>
  <c r="D15" i="11"/>
  <c r="D14" i="11"/>
  <c r="C16" i="11"/>
  <c r="C15" i="11"/>
  <c r="C14" i="11"/>
  <c r="K13" i="11"/>
  <c r="K12" i="11"/>
  <c r="K11" i="11"/>
  <c r="J13" i="11"/>
  <c r="J12" i="11"/>
  <c r="J11" i="11"/>
  <c r="I13" i="11"/>
  <c r="I12" i="11"/>
  <c r="I11" i="11"/>
  <c r="H13" i="11"/>
  <c r="H12" i="11"/>
  <c r="H11" i="11"/>
  <c r="G13" i="11"/>
  <c r="G12" i="11"/>
  <c r="G11" i="11"/>
  <c r="F13" i="11"/>
  <c r="F12" i="11"/>
  <c r="F11" i="11"/>
  <c r="E13" i="11"/>
  <c r="E12" i="11"/>
  <c r="E11" i="11"/>
  <c r="D13" i="11"/>
  <c r="D12" i="11"/>
  <c r="D11" i="11"/>
  <c r="C13" i="11"/>
  <c r="C12" i="11"/>
  <c r="C11" i="11"/>
  <c r="L11" i="11" s="1"/>
  <c r="K10" i="11"/>
  <c r="K9" i="11"/>
  <c r="K8" i="11"/>
  <c r="J10" i="11"/>
  <c r="J9" i="11"/>
  <c r="J8" i="11"/>
  <c r="I10" i="11"/>
  <c r="I9" i="11"/>
  <c r="I8" i="11"/>
  <c r="H10" i="11"/>
  <c r="H9" i="11"/>
  <c r="H8" i="11"/>
  <c r="G10" i="11"/>
  <c r="G9" i="11"/>
  <c r="G8" i="11"/>
  <c r="F10" i="11"/>
  <c r="F9" i="11"/>
  <c r="E8" i="11"/>
  <c r="E9" i="11" s="1"/>
  <c r="F8" i="11"/>
  <c r="E10" i="11"/>
  <c r="D10" i="11"/>
  <c r="D9" i="11"/>
  <c r="C10" i="11"/>
  <c r="C9" i="11"/>
  <c r="D8" i="11"/>
  <c r="C8" i="11"/>
  <c r="L8" i="11"/>
  <c r="M8" i="11"/>
  <c r="M10" i="11"/>
  <c r="L12" i="11"/>
  <c r="M12" i="11"/>
  <c r="L13" i="11"/>
  <c r="M13" i="11"/>
  <c r="L14" i="11"/>
  <c r="M14" i="11"/>
  <c r="L15" i="11"/>
  <c r="M15" i="11"/>
  <c r="L16" i="11"/>
  <c r="M16" i="11"/>
  <c r="N16" i="11" l="1"/>
  <c r="O15" i="11"/>
  <c r="M11" i="11"/>
  <c r="O11" i="11" s="1"/>
  <c r="L10" i="11"/>
  <c r="O10" i="11" s="1"/>
  <c r="L9" i="11"/>
  <c r="M9" i="11"/>
  <c r="N9" i="11" s="1"/>
  <c r="N8" i="11"/>
  <c r="N14" i="11"/>
  <c r="O13" i="11"/>
  <c r="N13" i="11"/>
  <c r="N12" i="11"/>
  <c r="N15" i="11"/>
  <c r="O14" i="11"/>
  <c r="O16" i="11"/>
  <c r="O12" i="11"/>
  <c r="O8" i="11"/>
  <c r="K12" i="8"/>
  <c r="O8" i="8"/>
  <c r="O9" i="8"/>
  <c r="N8" i="8"/>
  <c r="M8" i="8"/>
  <c r="L8" i="8"/>
  <c r="K9" i="8"/>
  <c r="K8" i="8"/>
  <c r="J12" i="8"/>
  <c r="J10" i="8"/>
  <c r="J9" i="8"/>
  <c r="J8" i="8"/>
  <c r="I12" i="8"/>
  <c r="I11" i="8"/>
  <c r="I10" i="8"/>
  <c r="I9" i="8"/>
  <c r="I8" i="8"/>
  <c r="H12" i="8"/>
  <c r="H11" i="8"/>
  <c r="H10" i="8"/>
  <c r="H9" i="8"/>
  <c r="H8" i="8"/>
  <c r="G13" i="8"/>
  <c r="G12" i="8"/>
  <c r="G11" i="8"/>
  <c r="G10" i="8"/>
  <c r="G9" i="8"/>
  <c r="G8" i="8"/>
  <c r="F14" i="8"/>
  <c r="F13" i="8"/>
  <c r="F12" i="8"/>
  <c r="F11" i="8"/>
  <c r="F10" i="8"/>
  <c r="F9" i="8"/>
  <c r="F8" i="8"/>
  <c r="E14" i="8"/>
  <c r="E13" i="8"/>
  <c r="E12" i="8"/>
  <c r="E11" i="8"/>
  <c r="E10" i="8"/>
  <c r="E9" i="8"/>
  <c r="E8" i="8"/>
  <c r="D14" i="8"/>
  <c r="D13" i="8"/>
  <c r="D12" i="8"/>
  <c r="D11" i="8"/>
  <c r="D10" i="8"/>
  <c r="L10" i="8" s="1"/>
  <c r="D9" i="8"/>
  <c r="D8" i="8"/>
  <c r="C14" i="8"/>
  <c r="C13" i="8"/>
  <c r="C12" i="8"/>
  <c r="M12" i="8" s="1"/>
  <c r="C11" i="8"/>
  <c r="C10" i="8"/>
  <c r="C9" i="8"/>
  <c r="C8" i="8"/>
  <c r="M14" i="8"/>
  <c r="M13" i="8"/>
  <c r="L12" i="8"/>
  <c r="M11" i="8"/>
  <c r="M10" i="8"/>
  <c r="M9" i="8"/>
  <c r="N11" i="11" l="1"/>
  <c r="N10" i="11"/>
  <c r="O9" i="11"/>
  <c r="L9" i="8"/>
  <c r="L13" i="8"/>
  <c r="N13" i="8" s="1"/>
  <c r="L14" i="8"/>
  <c r="O14" i="8" s="1"/>
  <c r="L11" i="8"/>
  <c r="N11" i="8" s="1"/>
  <c r="O10" i="8"/>
  <c r="O12" i="8"/>
  <c r="N9" i="8"/>
  <c r="N10" i="8"/>
  <c r="N12" i="8"/>
  <c r="F16" i="5"/>
  <c r="F17" i="6"/>
  <c r="F16" i="6"/>
  <c r="J28" i="5"/>
  <c r="I28" i="5"/>
  <c r="H28" i="5"/>
  <c r="G29" i="5"/>
  <c r="G28" i="5"/>
  <c r="F30" i="5"/>
  <c r="F29" i="5"/>
  <c r="F28" i="5"/>
  <c r="E30" i="5"/>
  <c r="E29" i="5"/>
  <c r="E28" i="5"/>
  <c r="D30" i="5"/>
  <c r="D29" i="5"/>
  <c r="D28" i="5"/>
  <c r="C30" i="5"/>
  <c r="C29" i="5"/>
  <c r="C28" i="5"/>
  <c r="J21" i="5"/>
  <c r="I21" i="5"/>
  <c r="H21" i="5"/>
  <c r="G22" i="5"/>
  <c r="G21" i="5"/>
  <c r="F23" i="5"/>
  <c r="F22" i="5"/>
  <c r="F21" i="5"/>
  <c r="E23" i="5"/>
  <c r="E22" i="5"/>
  <c r="E21" i="5"/>
  <c r="D23" i="5"/>
  <c r="D22" i="5"/>
  <c r="D21" i="5"/>
  <c r="C23" i="5"/>
  <c r="C22" i="5"/>
  <c r="C21" i="5"/>
  <c r="J14" i="5"/>
  <c r="H14" i="5"/>
  <c r="G15" i="5"/>
  <c r="G14" i="5"/>
  <c r="F15" i="5"/>
  <c r="F14" i="5"/>
  <c r="E16" i="5"/>
  <c r="E15" i="5"/>
  <c r="E14" i="5"/>
  <c r="K28" i="7"/>
  <c r="J28" i="7"/>
  <c r="I28" i="7"/>
  <c r="H28" i="7"/>
  <c r="G29" i="7"/>
  <c r="G28" i="7"/>
  <c r="F30" i="7"/>
  <c r="F29" i="7"/>
  <c r="F28" i="7"/>
  <c r="E30" i="7"/>
  <c r="E29" i="7"/>
  <c r="E28" i="7"/>
  <c r="D30" i="7"/>
  <c r="D29" i="7"/>
  <c r="D28" i="7"/>
  <c r="C30" i="7"/>
  <c r="C29" i="7"/>
  <c r="C28" i="7"/>
  <c r="J21" i="7"/>
  <c r="I21" i="7"/>
  <c r="H21" i="7"/>
  <c r="G22" i="7"/>
  <c r="G21" i="7"/>
  <c r="F23" i="7"/>
  <c r="F22" i="7"/>
  <c r="F21" i="7"/>
  <c r="E23" i="7"/>
  <c r="E22" i="7"/>
  <c r="E21" i="7"/>
  <c r="D23" i="7"/>
  <c r="D22" i="7"/>
  <c r="D21" i="7"/>
  <c r="C23" i="7"/>
  <c r="C22" i="7"/>
  <c r="C21" i="7"/>
  <c r="I14" i="7"/>
  <c r="H14" i="7"/>
  <c r="G15" i="7"/>
  <c r="G14" i="7"/>
  <c r="O13" i="8" l="1"/>
  <c r="N14" i="8"/>
  <c r="O11" i="8"/>
  <c r="D16" i="7"/>
  <c r="F15" i="7"/>
  <c r="F16" i="7"/>
  <c r="F14" i="7"/>
  <c r="E16" i="7"/>
  <c r="E15" i="7"/>
  <c r="E14" i="7"/>
  <c r="D15" i="7"/>
  <c r="D14" i="7"/>
  <c r="C16" i="7"/>
  <c r="C15" i="7"/>
  <c r="C14" i="7"/>
  <c r="H22" i="6"/>
  <c r="G23" i="6"/>
  <c r="G22" i="6"/>
  <c r="F23" i="6"/>
  <c r="F22" i="6"/>
  <c r="E24" i="6"/>
  <c r="E23" i="6"/>
  <c r="E22" i="6"/>
  <c r="D24" i="6"/>
  <c r="D23" i="6"/>
  <c r="D22" i="6"/>
  <c r="C24" i="6"/>
  <c r="C23" i="6"/>
  <c r="C22" i="6"/>
  <c r="E17" i="6"/>
  <c r="C17" i="6"/>
  <c r="C16" i="6"/>
  <c r="I15" i="6"/>
  <c r="H15" i="6"/>
  <c r="G16" i="6"/>
  <c r="G15" i="6"/>
  <c r="F15" i="6"/>
  <c r="E16" i="6"/>
  <c r="E15" i="6"/>
  <c r="D17" i="6"/>
  <c r="D16" i="6"/>
  <c r="D15" i="6"/>
  <c r="C15" i="6"/>
  <c r="M24" i="7"/>
  <c r="N24" i="7" s="1"/>
  <c r="L24" i="7"/>
  <c r="K25" i="7"/>
  <c r="K24" i="7"/>
  <c r="J26" i="7"/>
  <c r="J25" i="7"/>
  <c r="J24" i="7"/>
  <c r="I27" i="7"/>
  <c r="I26" i="7"/>
  <c r="I25" i="7"/>
  <c r="I24" i="7"/>
  <c r="H27" i="7"/>
  <c r="H26" i="7"/>
  <c r="H25" i="7"/>
  <c r="H24" i="7"/>
  <c r="G27" i="7"/>
  <c r="G26" i="7"/>
  <c r="G25" i="7"/>
  <c r="G24" i="7"/>
  <c r="F27" i="7"/>
  <c r="F26" i="7"/>
  <c r="F25" i="7"/>
  <c r="F24" i="7"/>
  <c r="E27" i="7"/>
  <c r="E26" i="7"/>
  <c r="E25" i="7"/>
  <c r="E24" i="7"/>
  <c r="D27" i="7"/>
  <c r="D26" i="7"/>
  <c r="D25" i="7"/>
  <c r="D24" i="7"/>
  <c r="C27" i="7"/>
  <c r="C26" i="7"/>
  <c r="C25" i="7"/>
  <c r="C24" i="7"/>
  <c r="M17" i="7"/>
  <c r="N17" i="7" s="1"/>
  <c r="L17" i="7"/>
  <c r="K18" i="7"/>
  <c r="K17" i="7"/>
  <c r="J19" i="7"/>
  <c r="J18" i="7"/>
  <c r="J17" i="7"/>
  <c r="I20" i="7"/>
  <c r="I19" i="7"/>
  <c r="I18" i="7"/>
  <c r="I17" i="7"/>
  <c r="H20" i="7"/>
  <c r="H19" i="7"/>
  <c r="H18" i="7"/>
  <c r="H17" i="7"/>
  <c r="G20" i="7"/>
  <c r="G19" i="7"/>
  <c r="G18" i="7"/>
  <c r="G17" i="7"/>
  <c r="F20" i="7"/>
  <c r="F19" i="7"/>
  <c r="F18" i="7"/>
  <c r="F17" i="7"/>
  <c r="E20" i="7"/>
  <c r="E19" i="7"/>
  <c r="E18" i="7"/>
  <c r="E17" i="7"/>
  <c r="D20" i="7"/>
  <c r="D19" i="7"/>
  <c r="D18" i="7"/>
  <c r="D17" i="7"/>
  <c r="C20" i="7"/>
  <c r="C19" i="7"/>
  <c r="C18" i="7"/>
  <c r="C17" i="7"/>
  <c r="O10" i="7"/>
  <c r="N10" i="7"/>
  <c r="M10" i="7"/>
  <c r="L10" i="7"/>
  <c r="K11" i="7"/>
  <c r="K10" i="7"/>
  <c r="J12" i="7"/>
  <c r="J11" i="7"/>
  <c r="J10" i="7"/>
  <c r="I13" i="7"/>
  <c r="I12" i="7"/>
  <c r="I11" i="7"/>
  <c r="I10" i="7"/>
  <c r="H13" i="7"/>
  <c r="H12" i="7"/>
  <c r="H11" i="7"/>
  <c r="H10" i="7"/>
  <c r="G13" i="7"/>
  <c r="G12" i="7"/>
  <c r="G11" i="7"/>
  <c r="G10" i="7"/>
  <c r="F13" i="7"/>
  <c r="F12" i="7"/>
  <c r="F11" i="7"/>
  <c r="F10" i="7"/>
  <c r="E13" i="7"/>
  <c r="E12" i="7"/>
  <c r="E11" i="7"/>
  <c r="E10" i="7"/>
  <c r="D13" i="7"/>
  <c r="D12" i="7"/>
  <c r="D11" i="7"/>
  <c r="D10" i="7"/>
  <c r="C13" i="7"/>
  <c r="C12" i="7"/>
  <c r="C11" i="7"/>
  <c r="C10" i="7"/>
  <c r="O24" i="7" l="1"/>
  <c r="O17" i="7"/>
  <c r="M18" i="6" l="1"/>
  <c r="N18" i="6" s="1"/>
  <c r="L18" i="6"/>
  <c r="K19" i="6"/>
  <c r="K18" i="6"/>
  <c r="J20" i="6"/>
  <c r="J19" i="6"/>
  <c r="J18" i="6"/>
  <c r="I21" i="6"/>
  <c r="I20" i="6"/>
  <c r="I19" i="6"/>
  <c r="I18" i="6"/>
  <c r="H21" i="6"/>
  <c r="H20" i="6"/>
  <c r="H19" i="6"/>
  <c r="H18" i="6"/>
  <c r="G21" i="6"/>
  <c r="G20" i="6"/>
  <c r="G19" i="6"/>
  <c r="G18" i="6"/>
  <c r="F21" i="6"/>
  <c r="F20" i="6"/>
  <c r="F19" i="6"/>
  <c r="F18" i="6"/>
  <c r="E21" i="6"/>
  <c r="E20" i="6"/>
  <c r="E19" i="6"/>
  <c r="E18" i="6"/>
  <c r="D21" i="6"/>
  <c r="D20" i="6"/>
  <c r="D19" i="6"/>
  <c r="D18" i="6"/>
  <c r="C21" i="6"/>
  <c r="C20" i="6"/>
  <c r="C19" i="6"/>
  <c r="C18" i="6"/>
  <c r="K11" i="6"/>
  <c r="K12" i="6" s="1"/>
  <c r="J11" i="6"/>
  <c r="J13" i="6" s="1"/>
  <c r="I11" i="6"/>
  <c r="I13" i="6" s="1"/>
  <c r="H11" i="6"/>
  <c r="H13" i="6" s="1"/>
  <c r="G11" i="6"/>
  <c r="M11" i="6" s="1"/>
  <c r="F14" i="6"/>
  <c r="F13" i="6"/>
  <c r="F12" i="6"/>
  <c r="E14" i="6"/>
  <c r="E13" i="6"/>
  <c r="E12" i="6"/>
  <c r="D14" i="6"/>
  <c r="D13" i="6"/>
  <c r="D12" i="6"/>
  <c r="C14" i="6"/>
  <c r="C13" i="6"/>
  <c r="C12" i="6"/>
  <c r="K25" i="5"/>
  <c r="J26" i="5"/>
  <c r="J25" i="5"/>
  <c r="I27" i="5"/>
  <c r="I26" i="5"/>
  <c r="I25" i="5"/>
  <c r="H27" i="5"/>
  <c r="H26" i="5"/>
  <c r="H25" i="5"/>
  <c r="G27" i="5"/>
  <c r="G26" i="5"/>
  <c r="G25" i="5"/>
  <c r="F27" i="5"/>
  <c r="F26" i="5"/>
  <c r="F25" i="5"/>
  <c r="E27" i="5"/>
  <c r="E26" i="5"/>
  <c r="E25" i="5"/>
  <c r="D27" i="5"/>
  <c r="D26" i="5"/>
  <c r="D25" i="5"/>
  <c r="C27" i="5"/>
  <c r="C26" i="5"/>
  <c r="C25" i="5"/>
  <c r="K18" i="5"/>
  <c r="J19" i="5"/>
  <c r="J18" i="5"/>
  <c r="I20" i="5"/>
  <c r="I19" i="5"/>
  <c r="I18" i="5"/>
  <c r="H20" i="5"/>
  <c r="H19" i="5"/>
  <c r="H18" i="5"/>
  <c r="G20" i="5"/>
  <c r="G19" i="5"/>
  <c r="G18" i="5"/>
  <c r="F20" i="5"/>
  <c r="F19" i="5"/>
  <c r="F18" i="5"/>
  <c r="E20" i="5"/>
  <c r="E19" i="5"/>
  <c r="E18" i="5"/>
  <c r="D20" i="5"/>
  <c r="D19" i="5"/>
  <c r="D18" i="5"/>
  <c r="C20" i="5"/>
  <c r="C19" i="5"/>
  <c r="C18" i="5"/>
  <c r="K11" i="5"/>
  <c r="J12" i="5"/>
  <c r="J11" i="5"/>
  <c r="I13" i="5"/>
  <c r="I12" i="5"/>
  <c r="I11" i="5"/>
  <c r="H13" i="5"/>
  <c r="H12" i="5"/>
  <c r="H11" i="5"/>
  <c r="G13" i="5"/>
  <c r="G12" i="5"/>
  <c r="G11" i="5"/>
  <c r="F13" i="5"/>
  <c r="F12" i="5"/>
  <c r="F11" i="5"/>
  <c r="E13" i="5"/>
  <c r="E12" i="5"/>
  <c r="E11" i="5"/>
  <c r="D16" i="5"/>
  <c r="D15" i="5"/>
  <c r="D14" i="5"/>
  <c r="D13" i="5"/>
  <c r="D12" i="5"/>
  <c r="D11" i="5"/>
  <c r="C16" i="5"/>
  <c r="C15" i="5"/>
  <c r="C14" i="5"/>
  <c r="C13" i="5"/>
  <c r="C12" i="5"/>
  <c r="O18" i="6" l="1"/>
  <c r="G14" i="6"/>
  <c r="I14" i="6"/>
  <c r="H14" i="6"/>
  <c r="G12" i="6"/>
  <c r="H12" i="6"/>
  <c r="I12" i="6"/>
  <c r="J12" i="6"/>
  <c r="L11" i="6"/>
  <c r="G13" i="6"/>
  <c r="C11" i="5"/>
  <c r="N11" i="6" l="1"/>
  <c r="O11" i="6"/>
  <c r="O10" i="5"/>
  <c r="N10" i="5"/>
  <c r="M24" i="5"/>
  <c r="N24" i="5" s="1"/>
  <c r="L24" i="5"/>
  <c r="K24" i="5"/>
  <c r="J24" i="5"/>
  <c r="I24" i="5"/>
  <c r="H24" i="5"/>
  <c r="G24" i="5"/>
  <c r="F24" i="5"/>
  <c r="E24" i="5"/>
  <c r="D24" i="5"/>
  <c r="C24" i="5"/>
  <c r="M17" i="5"/>
  <c r="N17" i="5" s="1"/>
  <c r="L17" i="5"/>
  <c r="K17" i="5"/>
  <c r="J17" i="5"/>
  <c r="I17" i="5"/>
  <c r="H17" i="5"/>
  <c r="G17" i="5"/>
  <c r="F17" i="5"/>
  <c r="E17" i="5"/>
  <c r="D17" i="5"/>
  <c r="C17" i="5"/>
  <c r="K10" i="5"/>
  <c r="J10" i="5"/>
  <c r="I10" i="5"/>
  <c r="H10" i="5"/>
  <c r="G10" i="5"/>
  <c r="F10" i="5"/>
  <c r="E10" i="5"/>
  <c r="D10" i="5"/>
  <c r="M10" i="5" s="1"/>
  <c r="C10" i="5"/>
  <c r="O24" i="5" l="1"/>
  <c r="O17" i="5"/>
  <c r="L10" i="5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8" i="4"/>
  <c r="N14" i="4"/>
  <c r="N15" i="4"/>
  <c r="N16" i="4"/>
  <c r="N17" i="4"/>
  <c r="N18" i="4"/>
  <c r="N19" i="4"/>
  <c r="N20" i="4"/>
  <c r="N21" i="4"/>
  <c r="N22" i="4"/>
  <c r="N23" i="4"/>
  <c r="N24" i="4"/>
  <c r="N25" i="4"/>
  <c r="N9" i="4"/>
  <c r="N10" i="4"/>
  <c r="N11" i="4"/>
  <c r="N12" i="4"/>
  <c r="N13" i="4"/>
  <c r="N8" i="4"/>
  <c r="L28" i="7" l="1"/>
  <c r="M21" i="7"/>
  <c r="L21" i="7"/>
  <c r="M14" i="7"/>
  <c r="L14" i="7"/>
  <c r="M30" i="7"/>
  <c r="L30" i="7"/>
  <c r="M29" i="7"/>
  <c r="L29" i="7"/>
  <c r="M28" i="7"/>
  <c r="M27" i="7"/>
  <c r="L27" i="7"/>
  <c r="M26" i="7"/>
  <c r="L26" i="7"/>
  <c r="M25" i="7"/>
  <c r="L25" i="7"/>
  <c r="M23" i="7"/>
  <c r="L23" i="7"/>
  <c r="M22" i="7"/>
  <c r="L22" i="7"/>
  <c r="M20" i="7"/>
  <c r="L20" i="7"/>
  <c r="M19" i="7"/>
  <c r="L19" i="7"/>
  <c r="M18" i="7"/>
  <c r="L18" i="7"/>
  <c r="M16" i="7"/>
  <c r="L16" i="7"/>
  <c r="M15" i="7"/>
  <c r="L15" i="7"/>
  <c r="M13" i="7"/>
  <c r="L13" i="7"/>
  <c r="M12" i="7"/>
  <c r="L12" i="7"/>
  <c r="M11" i="7"/>
  <c r="L11" i="7"/>
  <c r="M22" i="6"/>
  <c r="L22" i="6"/>
  <c r="L15" i="6"/>
  <c r="M24" i="6"/>
  <c r="L24" i="6"/>
  <c r="M23" i="6"/>
  <c r="L23" i="6"/>
  <c r="M21" i="6"/>
  <c r="L21" i="6"/>
  <c r="M20" i="6"/>
  <c r="L20" i="6"/>
  <c r="M19" i="6"/>
  <c r="L19" i="6"/>
  <c r="M17" i="6"/>
  <c r="L17" i="6"/>
  <c r="M16" i="6"/>
  <c r="L16" i="6"/>
  <c r="M15" i="6"/>
  <c r="M14" i="6"/>
  <c r="L14" i="6"/>
  <c r="M13" i="6"/>
  <c r="L13" i="6"/>
  <c r="M12" i="6"/>
  <c r="L12" i="6"/>
  <c r="M14" i="5"/>
  <c r="M28" i="5"/>
  <c r="M21" i="5"/>
  <c r="M12" i="5"/>
  <c r="M13" i="5"/>
  <c r="M15" i="5"/>
  <c r="M16" i="5"/>
  <c r="M18" i="5"/>
  <c r="M19" i="5"/>
  <c r="M20" i="5"/>
  <c r="M22" i="5"/>
  <c r="M23" i="5"/>
  <c r="M25" i="5"/>
  <c r="M26" i="5"/>
  <c r="M27" i="5"/>
  <c r="M29" i="5"/>
  <c r="M30" i="5"/>
  <c r="M11" i="5"/>
  <c r="L28" i="5"/>
  <c r="L21" i="5"/>
  <c r="L14" i="5"/>
  <c r="L12" i="5"/>
  <c r="L13" i="5"/>
  <c r="L15" i="5"/>
  <c r="L16" i="5"/>
  <c r="L18" i="5"/>
  <c r="L19" i="5"/>
  <c r="L20" i="5"/>
  <c r="L22" i="5"/>
  <c r="L23" i="5"/>
  <c r="L25" i="5"/>
  <c r="L26" i="5"/>
  <c r="L27" i="5"/>
  <c r="L29" i="5"/>
  <c r="L30" i="5"/>
  <c r="L11" i="5"/>
  <c r="O13" i="7" l="1"/>
  <c r="N13" i="7"/>
  <c r="O22" i="7"/>
  <c r="N22" i="7"/>
  <c r="N30" i="7"/>
  <c r="O30" i="7"/>
  <c r="O21" i="7"/>
  <c r="N21" i="7"/>
  <c r="O11" i="7"/>
  <c r="N11" i="7"/>
  <c r="N16" i="7"/>
  <c r="O16" i="7"/>
  <c r="N25" i="7"/>
  <c r="O25" i="7"/>
  <c r="N12" i="7"/>
  <c r="O12" i="7"/>
  <c r="N15" i="7"/>
  <c r="O15" i="7"/>
  <c r="O18" i="7"/>
  <c r="N18" i="7"/>
  <c r="N20" i="7"/>
  <c r="O20" i="7"/>
  <c r="O23" i="7"/>
  <c r="N23" i="7"/>
  <c r="N26" i="7"/>
  <c r="O26" i="7"/>
  <c r="O19" i="7"/>
  <c r="N19" i="7"/>
  <c r="O27" i="7"/>
  <c r="N27" i="7"/>
  <c r="N29" i="7"/>
  <c r="O29" i="7"/>
  <c r="N14" i="7"/>
  <c r="O14" i="7"/>
  <c r="N28" i="7"/>
  <c r="O28" i="7"/>
  <c r="O16" i="6"/>
  <c r="N16" i="6"/>
  <c r="O19" i="6"/>
  <c r="N19" i="6"/>
  <c r="N21" i="6"/>
  <c r="O21" i="6"/>
  <c r="O24" i="6"/>
  <c r="N24" i="6"/>
  <c r="N12" i="6"/>
  <c r="O12" i="6"/>
  <c r="O14" i="6"/>
  <c r="N14" i="6"/>
  <c r="O17" i="6"/>
  <c r="N17" i="6"/>
  <c r="O20" i="6"/>
  <c r="N20" i="6"/>
  <c r="O23" i="6"/>
  <c r="N23" i="6"/>
  <c r="O15" i="6"/>
  <c r="N15" i="6"/>
  <c r="N13" i="6"/>
  <c r="O13" i="6"/>
  <c r="N22" i="6"/>
  <c r="O22" i="6"/>
  <c r="N25" i="5"/>
  <c r="O25" i="5"/>
  <c r="O26" i="5"/>
  <c r="N26" i="5"/>
  <c r="N27" i="5"/>
  <c r="O27" i="5"/>
  <c r="O28" i="5"/>
  <c r="N28" i="5"/>
  <c r="O29" i="5"/>
  <c r="N29" i="5"/>
  <c r="O30" i="5"/>
  <c r="N30" i="5"/>
  <c r="O23" i="5"/>
  <c r="N23" i="5"/>
  <c r="O22" i="5"/>
  <c r="N22" i="5"/>
  <c r="O21" i="5"/>
  <c r="N21" i="5"/>
  <c r="O20" i="5"/>
  <c r="N20" i="5"/>
  <c r="O19" i="5"/>
  <c r="N19" i="5"/>
  <c r="N18" i="5"/>
  <c r="O18" i="5"/>
  <c r="O16" i="5"/>
  <c r="N16" i="5"/>
  <c r="O15" i="5"/>
  <c r="N15" i="5"/>
  <c r="O14" i="5"/>
  <c r="N14" i="5"/>
  <c r="O13" i="5"/>
  <c r="N13" i="5"/>
  <c r="O12" i="5"/>
  <c r="N12" i="5"/>
  <c r="O11" i="5"/>
  <c r="N11" i="5"/>
  <c r="M23" i="4"/>
  <c r="L23" i="4"/>
  <c r="M17" i="4"/>
  <c r="L17" i="4"/>
  <c r="M11" i="4"/>
  <c r="L11" i="4"/>
  <c r="M22" i="4" l="1"/>
  <c r="M21" i="4"/>
  <c r="M20" i="4"/>
  <c r="M19" i="4"/>
  <c r="M18" i="4"/>
  <c r="M16" i="4"/>
  <c r="M15" i="4"/>
  <c r="M14" i="4"/>
  <c r="M13" i="4"/>
  <c r="M12" i="4"/>
  <c r="M10" i="4"/>
  <c r="M9" i="4"/>
  <c r="M8" i="4"/>
  <c r="L25" i="4"/>
  <c r="L24" i="4"/>
  <c r="L22" i="4"/>
  <c r="L21" i="4"/>
  <c r="L20" i="4"/>
  <c r="L19" i="4"/>
  <c r="L18" i="4"/>
  <c r="L16" i="4"/>
  <c r="L15" i="4"/>
  <c r="L14" i="4"/>
  <c r="L13" i="4"/>
  <c r="L12" i="4"/>
  <c r="L10" i="4"/>
  <c r="L9" i="4"/>
  <c r="L8" i="4"/>
  <c r="M25" i="4" l="1"/>
  <c r="M24" i="4"/>
</calcChain>
</file>

<file path=xl/sharedStrings.xml><?xml version="1.0" encoding="utf-8"?>
<sst xmlns="http://schemas.openxmlformats.org/spreadsheetml/2006/main" count="458" uniqueCount="132">
  <si>
    <t>Indicador Académico</t>
  </si>
  <si>
    <t>AYN</t>
  </si>
  <si>
    <t>ING</t>
  </si>
  <si>
    <t>CSYH</t>
  </si>
  <si>
    <t>% Retención al año 1</t>
  </si>
  <si>
    <t>% Retención al año 2</t>
  </si>
  <si>
    <t>% Eficiencia al año 6</t>
  </si>
  <si>
    <t>ND</t>
  </si>
  <si>
    <t>% Eficiencia al año 4</t>
  </si>
  <si>
    <t>% Eficiencia al año 5</t>
  </si>
  <si>
    <t>Generaciónes consideradas (Agostos del año indicado)</t>
  </si>
  <si>
    <t>Media</t>
  </si>
  <si>
    <t>Des. Est.</t>
  </si>
  <si>
    <t>ND: No Disponible</t>
  </si>
  <si>
    <t>Colegio de Administración y Negocios</t>
  </si>
  <si>
    <t>Colegio de Ciencias Sociales y Humanidades</t>
  </si>
  <si>
    <t>Colegio de Ingeniería.</t>
  </si>
  <si>
    <t>Sistema CETYS Universidad.</t>
  </si>
  <si>
    <t>Colegio</t>
  </si>
  <si>
    <t>Mexicali, B.C. Enero 14 del 2014.</t>
  </si>
  <si>
    <t>% Retención al año 3</t>
  </si>
  <si>
    <t xml:space="preserve">(1) La retención al primer año para este colegio tiene un promedio del 80.0% en las últimas 9 generaciones a partir del 2004. </t>
  </si>
  <si>
    <t>La desviación estándar de la retención al primer año es de 1.6%.</t>
  </si>
  <si>
    <t>Se puede concluir que la retención al primer año se ha mantenido sin cambio en las últimas 9 generaciones.</t>
  </si>
  <si>
    <t>(2) La retención al segundo año para este colegio tiene un promedio del 71.0% y una desviación estándar del 2.4%.</t>
  </si>
  <si>
    <t>Nota de Skef: Los valores en Font Rojo no se consideraron.</t>
  </si>
  <si>
    <t>Se puede apreciar que la retención al segundo año ha presentado una mayor dispersión en comparación con la del primer año,</t>
  </si>
  <si>
    <t>sin embargo esta retención se ha mantenido casi sin cambio a lo largo de las 9 generaciones con excepción de la 2007.</t>
  </si>
  <si>
    <t xml:space="preserve">el que presenta una mayor dispersión, en comparación con los otros dos años. La expectativa sería que a medida que el estudiante avanza </t>
  </si>
  <si>
    <t>en sus estudios la retención debería ser más estable sin importar el nivel que tome.</t>
  </si>
  <si>
    <t>(4) La eficiencia terminal al cuarto año para este colegio tiene un promedio del 47.7%  y una desviación estándar del 4.5%, en las últimas 9 generaciones.</t>
  </si>
  <si>
    <t>Esto nos indicaría que menos del 50% de los estudiantes de estas 9 generaciones están concluyendo sus estudios en la duración esperada de su licenciatura.</t>
  </si>
  <si>
    <t>¿Qué causa este comportamiento?</t>
  </si>
  <si>
    <t>menos del 3% del quinto al sexto año.</t>
  </si>
  <si>
    <t>Este colegio de cada 100 estudiantes de una generación, gradúa a casi 59 estudiantes al término del sexto año.</t>
  </si>
  <si>
    <t>Este colegio de cada 100 estudiantes de una generación, pierde en promedio 34 al cabo de tres años. La mayor parte de esa pérdida se concentra en el primer año.</t>
  </si>
  <si>
    <t xml:space="preserve">(1) La retención al primer año para este colegio tiene un promedio del 84.8% en las últimas 9 generaciones a partir del 2004. </t>
  </si>
  <si>
    <t>La desviación estándar de la retención al primer año es de 2.3%. Este colegio es el que más estudiantes retiene en el primer año.</t>
  </si>
  <si>
    <t>Se puede concluir que la retención al primer año se ha mantenido en el mismo nivel en las últimas 9 generaciones.</t>
  </si>
  <si>
    <t>sin embargo esta retención se ha mantenido casi sin cambio a lo largo de las 9 generaciones con excepción de la 2006.</t>
  </si>
  <si>
    <t>(3) La retención al tercer año presenta una media de 65.7% con una desviación estándar del 4.2%. Nótese que es este tercer año</t>
  </si>
  <si>
    <t>(3) La retención al tercer año presenta una media de 73.6% con una desviación estándar del 6.1%. Nótese que es este tercer año</t>
  </si>
  <si>
    <t>Este colegio de cada 100 estudiantes de una generación, pierde en promedio 26 al cabo de tres años. La mayor parte de esa pérdida se concentra en el primer año.</t>
  </si>
  <si>
    <t>A pesar de que este es el colegio que presenta mayor dispersión en su retención es también el que más estudiantes retiene.</t>
  </si>
  <si>
    <t>(4) La eficiencia terminal al cuarto año para este colegio tiene un promedio del 54.0%  y una desviación estándar del 6.5%, en las últimas 9 generaciones.</t>
  </si>
  <si>
    <t>Esto nos indicaría que más del 50% de los estudiantes de estas 9 generaciones están concluyendo sus estudios en la duración esperada de su licenciatura.</t>
  </si>
  <si>
    <t>casi nulo el incremento del quinto al sexto año.</t>
  </si>
  <si>
    <t>Este colegio de cada 100 estudiantes de una generación, gradúa en promedio a 64 estudiantes al término del sexto año.</t>
  </si>
  <si>
    <t xml:space="preserve">(1) La retención al primer año para este colegio tiene un promedio del 83.9% en las últimas 9 generaciones a partir del 2004. </t>
  </si>
  <si>
    <t>La desviación estándar de la retención al primer año es de 2.8%. Este colegio es el que más estudiantes retiene en el primer año.</t>
  </si>
  <si>
    <t>(2) La retención al segundo año para este colegio tiene un promedio del 76.8% y una desviación estándar del 2.6%.</t>
  </si>
  <si>
    <t>(2) La retención al segundo año para este colegio tiene un promedio del 78.6% y una desviación estándar del 3.0%.</t>
  </si>
  <si>
    <t>Se puede apreciar que la retención al segundo año ha mantenido casi la misma dispersión del primer año,</t>
  </si>
  <si>
    <t>en esencia la retención se ha mantenido casi sin cambio a lo largo de las 9 generaciones con excepción de la 2005 donde tuvo un pico importante.</t>
  </si>
  <si>
    <t>(3) La retención al tercer año presenta una media de 72.3% con una desviación estándar del 3.7%. Nótese que es este tercer año</t>
  </si>
  <si>
    <t>en sus estudios la retención debería ser más estable sin importar el nivel que tome. Esta situación está presente en los tres colegios.</t>
  </si>
  <si>
    <t>Este colegio de cada 100 estudiantes de una generación, pierde en promedio 28 al cabo de tres años. La mayor parte de esa pérdida se concentra en el primer año.</t>
  </si>
  <si>
    <t>(4) La eficiencia terminal al cuarto año para este colegio tiene un promedio del 55.3%  y una desviación estándar del 5.2%, en las últimas 9 generaciones.</t>
  </si>
  <si>
    <t>solo un 2% del quinto al sexto año.</t>
  </si>
  <si>
    <t>Este colegio de cada 100 estudiantes de una generación, gradúa en promedio a 67 estudiantes al término del sexto año. Es el colegio que más estudiantes</t>
  </si>
  <si>
    <t>gradúa al cabo de 6 años.</t>
  </si>
  <si>
    <t>Comentarios sobre la retención y eficiencia terminal de programas de licenciatura por colegio.</t>
  </si>
  <si>
    <t>De los tres colegios el que tiene más eficiencia terminal es el Colegio de ING, el de más baja eficiencia terminal es el Colegio de AYN.</t>
  </si>
  <si>
    <t>De los tres colegios el que tiene una mayor retención es el Colegio de CSYH, mientras que el de menor retención es el Colegio de AYN.</t>
  </si>
  <si>
    <t>Las mayores oportunidades de retención para los tres colegios están en el primer año de cada generación.</t>
  </si>
  <si>
    <t>Solo en los dos de los tres colegios (CSYH e ING) más del 50% de los estudiantes se están graduando en la duración esperada de su licenciatura.</t>
  </si>
  <si>
    <t>Al quinto año la eficiencia terminal tiene un promedio del 56.0%, con una desviación estándar del 3.9%. Del cuarto al quinto año la eficiencia se incrementa en un 8.3% y</t>
  </si>
  <si>
    <t>Al quinto año la eficiencia terminal tiene un promedio del 64.4%, con una desviación estándar del 5.5%. Del cuarto al quinto año la eficiencia terminal se incrementa en un 10.4% y</t>
  </si>
  <si>
    <t>Al quinto año la eficiencia terminal tiene un promedio del 64.8%, con una desviación estándar del 5.8%. Del cuarto al quinto año la eficiencia terminal se incrementa en un 9.5% y</t>
  </si>
  <si>
    <t>Sistema CETYS Universidad</t>
  </si>
  <si>
    <t>Mexicali, B.C. a 28 de Enero de 2014</t>
  </si>
  <si>
    <t>Campus</t>
  </si>
  <si>
    <t>Des. Est</t>
  </si>
  <si>
    <t>Generaciones consideradas (Agosto del año indicado)</t>
  </si>
  <si>
    <t>Ensenada</t>
  </si>
  <si>
    <t>Mexicali</t>
  </si>
  <si>
    <t>Tijuana</t>
  </si>
  <si>
    <t>Colegio de Ingeniería</t>
  </si>
  <si>
    <t>Inferior</t>
  </si>
  <si>
    <t>Superior</t>
  </si>
  <si>
    <t>Población Inicial</t>
  </si>
  <si>
    <t>Límites (95%)</t>
  </si>
  <si>
    <t>Sistema CETYS</t>
  </si>
  <si>
    <r>
      <rPr>
        <b/>
        <sz val="12"/>
        <color theme="1"/>
        <rFont val="Arial Narrow"/>
        <family val="2"/>
      </rPr>
      <t>ND</t>
    </r>
    <r>
      <rPr>
        <sz val="12"/>
        <color theme="1"/>
        <rFont val="Arial Narrow"/>
        <family val="2"/>
      </rPr>
      <t>: No Disponible</t>
    </r>
  </si>
  <si>
    <t>Comentarios sobre la retención y eficiencia a nivel Sistema CETYS</t>
  </si>
  <si>
    <t>Los límites de confianza del 95% de la población inicial, se encuentran entre 492 y 582.</t>
  </si>
  <si>
    <t>Su desviación estándar es de 1.1, lo cual confirma que no a cambiado con el paso de las generaciones.</t>
  </si>
  <si>
    <t>Su desviación estándar es de 1.6.</t>
  </si>
  <si>
    <t>Su desviación estándar es de 2.3.</t>
  </si>
  <si>
    <t>Su desviación estándar es de 2.8.</t>
  </si>
  <si>
    <t>(6) La eficiencia terminal de alumnos al 5to año posee un promedio de 60.9 alumnos.</t>
  </si>
  <si>
    <t>Su desviación estándar es la más alta con 3.3.</t>
  </si>
  <si>
    <t>(7) La eficiencia terminal al 6to año es la más alta de todas con un promedio de 62.7.</t>
  </si>
  <si>
    <t>Su desviación estándar es de 3.2.</t>
  </si>
  <si>
    <t>Podemos ver que la eficiencia terminal al año 6, posee una tendencia a la baja, para los próximos años.</t>
  </si>
  <si>
    <t>Los límites de confianza del 95% para la eficiencia terminal al 5to año, se encuentran entre 58.3 y 63.4.</t>
  </si>
  <si>
    <t>(2) La retención de alumnos al 1er año a lo largo de las 9 generaciones analizadas, se a mantenido constante, con un promedio de 82.5.</t>
  </si>
  <si>
    <t>(3) La retención de alumnos al 2do año a lo largo de las 9 generaciones analizadas, a variado ligeramente en comparación con la del primer año, y posee un promedio de 74.6.</t>
  </si>
  <si>
    <t>Los límites de confianza del 95% de la retención de alumnos al 2do año, se encuentran entre 73.4 y 75.8.</t>
  </si>
  <si>
    <t>Los límites de confianza del 95% de la retención de alumnos al 3er año, se encuentran entre 67.9 y 71.5.</t>
  </si>
  <si>
    <t>Los límites de confianza del 95% para la eficiencia terminal al 4to año, se encuentran entre 49.8 y 54.2.</t>
  </si>
  <si>
    <t>La desviación estándar que presenta la población es de 58 estudiantes. El coeficiente de variación es alrededor del 11% y es pequeño.</t>
  </si>
  <si>
    <t>La línea de tendencia de la población inicial va hacia arriba pero es notable que aún con crecimiento tenga un año que sube y otro que baja.</t>
  </si>
  <si>
    <t>Los límites de confianza del 95% de la retención de alumnos al 1er año, se encuentran entre 81.7 y 83.3. Se puede observar que el intervalo de confianza tiene una alta precisión.</t>
  </si>
  <si>
    <t>Los esfuerzos de retención y de detección temprana se deben enfocar al 1er año de licenciatura. Valdría la pena revisar la política de admisiones de licenciatura.</t>
  </si>
  <si>
    <t>Es en el 1er año donde se encuentra el mayor porcentaje de alumnos retenidos a nivel sistema. Sin embargo es donde ocurre el mayor porcentaje de bajas de los tres años de los cuales se mide la retención.</t>
  </si>
  <si>
    <t>Sería interesante revisar los resultados de los exámenes de admisión y el porcentaje de alumnos admitidos condicionalmente en ese año.</t>
  </si>
  <si>
    <t>(5) La eficiencia terminal al 4to año es la más baja, con un promedio de 52.0.</t>
  </si>
  <si>
    <t>El grueso de las generaciones se ha venido graduando al 5to año.</t>
  </si>
  <si>
    <t>(1) La variable observada de la población inicial posee una media de 537 estudiantes en las últimas 9 generaciones, a partir del 2004.</t>
  </si>
  <si>
    <t>Hay una alta probabilidad de que la población del sistema CETYS supere en el segundo semestre del 2014 los 7100 estudiantes.</t>
  </si>
  <si>
    <t>Podemos ver un aumento de alumnos retenidos al 2do año para la generación del 2005.</t>
  </si>
  <si>
    <t>(4) La retención de alumnos al 3er año a lo largo de las 9 generaciones posee un promedio de 69.7.</t>
  </si>
  <si>
    <t>Los límites de confianza del 95% para la eficiencia terminal al 6to año, se encuentran entre 60.2 y 65.1.</t>
  </si>
  <si>
    <t>Población inicial AYN</t>
  </si>
  <si>
    <t>Población inicial CSYH</t>
  </si>
  <si>
    <t>Población inicial ING</t>
  </si>
  <si>
    <t>% de Hombres</t>
  </si>
  <si>
    <t>% de Mujeres</t>
  </si>
  <si>
    <t>% de hombres</t>
  </si>
  <si>
    <t>% de mujeres</t>
  </si>
  <si>
    <t>Análisis de retención y eficiencia terminal a nivel Sistema en Licenciaturas.</t>
  </si>
  <si>
    <t>Trabajo realizado por: Ing. Héctor Vargas y becario Mario Barragán.</t>
  </si>
  <si>
    <t>Análisis de población inicial y distribución de género a nivel Sistema (Licenciatura).</t>
  </si>
  <si>
    <t>Población Inicial (NI)</t>
  </si>
  <si>
    <t>Eficiencia Terminal</t>
  </si>
  <si>
    <t>Retención</t>
  </si>
  <si>
    <t>Análisis de retención y eficiencia terminal de licenciatura por colegios.</t>
  </si>
  <si>
    <t>Análisis de población inicial (NI) de Licenciatura y distribución de género por colegio.</t>
  </si>
  <si>
    <t>Análisis de retención y eficiencia terminal de Licenciatura del Colegio de ING por Campus</t>
  </si>
  <si>
    <t>Análisis de retención y eficiencia terminal de Licenciatura del Colegio de CSYH por Campus</t>
  </si>
  <si>
    <t>Análisis de retención y eficiencia terminal de Licenciatura del Colegio de AYN por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</si>
</sst>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0000CC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  <font>
      <sz val="12"/>
      <color rgb="FFFF0000"/>
      <name val="Arial Narrow"/>
      <family val="2"/>
    </font>
    <font>
      <b/>
      <sz val="12"/>
      <color rgb="FF0066FF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B9FF"/>
        <bgColor indexed="64"/>
      </patternFill>
    </fill>
    <fill>
      <patternFill patternType="solid">
        <fgColor rgb="FFB4FF8F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5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164" fontId="0" fillId="3" borderId="1" xfId="0" applyNumberForma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0" fillId="5" borderId="1" xfId="0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1" fillId="6" borderId="1" xfId="0" applyFont="1" applyFill="1" applyBorder="1"/>
    <xf numFmtId="0" fontId="0" fillId="6" borderId="1" xfId="0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2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/>
    </xf>
    <xf numFmtId="2" fontId="1" fillId="7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/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2" fontId="4" fillId="7" borderId="3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2" fontId="4" fillId="7" borderId="3" xfId="0" applyNumberFormat="1" applyFont="1" applyFill="1" applyBorder="1" applyAlignment="1">
      <alignment horizontal="center" vertical="center" wrapText="1"/>
    </xf>
    <xf numFmtId="164" fontId="0" fillId="7" borderId="1" xfId="0" applyNumberFormat="1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164" fontId="0" fillId="5" borderId="1" xfId="0" applyNumberFormat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164" fontId="0" fillId="7" borderId="1" xfId="0" applyNumberFormat="1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 vertical="center" wrapText="1"/>
    </xf>
    <xf numFmtId="2" fontId="1" fillId="8" borderId="3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wrapText="1"/>
    </xf>
    <xf numFmtId="164" fontId="0" fillId="8" borderId="1" xfId="0" applyNumberFormat="1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2" fontId="4" fillId="9" borderId="3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64" fontId="0" fillId="9" borderId="1" xfId="0" applyNumberFormat="1" applyFont="1" applyFill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164" fontId="5" fillId="9" borderId="1" xfId="0" applyNumberFormat="1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2" fontId="4" fillId="10" borderId="3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vertical="center"/>
    </xf>
    <xf numFmtId="164" fontId="0" fillId="10" borderId="1" xfId="0" applyNumberFormat="1" applyFont="1" applyFill="1" applyBorder="1" applyAlignment="1">
      <alignment horizontal="center" vertical="center"/>
    </xf>
    <xf numFmtId="2" fontId="1" fillId="10" borderId="1" xfId="0" applyNumberFormat="1" applyFont="1" applyFill="1" applyBorder="1" applyAlignment="1">
      <alignment horizontal="center" vertical="center"/>
    </xf>
    <xf numFmtId="164" fontId="5" fillId="1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9" fillId="0" borderId="0" xfId="0" applyFont="1"/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B4FF8F"/>
      <color rgb="FF89FF89"/>
      <color rgb="FFC9FFC9"/>
      <color rgb="FFFFB9FF"/>
      <color rgb="FFCC99FF"/>
      <color rgb="FFFFCCCC"/>
      <color rgb="FF99FF66"/>
      <color rgb="FF99FF99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>
                <a:solidFill>
                  <a:srgbClr val="0066FF"/>
                </a:solidFill>
                <a:latin typeface="Arial Narrow" panose="020B0606020202030204" pitchFamily="34" charset="0"/>
              </a:rPr>
              <a:t>Sistema</a:t>
            </a:r>
            <a:r>
              <a:rPr lang="en-US" sz="2400" baseline="0">
                <a:solidFill>
                  <a:srgbClr val="0066FF"/>
                </a:solidFill>
                <a:latin typeface="Arial Narrow" panose="020B0606020202030204" pitchFamily="34" charset="0"/>
              </a:rPr>
              <a:t> CETYS: Licenciatura</a:t>
            </a:r>
            <a:endParaRPr lang="en-US" sz="2400">
              <a:solidFill>
                <a:srgbClr val="0066FF"/>
              </a:solidFill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'Ret. y Efic. Term. Sist. CETYS'!$B$9</c:f>
              <c:strCache>
                <c:ptCount val="1"/>
                <c:pt idx="0">
                  <c:v>% Retención al año 1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Term. Sist. CETYS'!$C$9:$K$9</c:f>
              <c:numCache>
                <c:formatCode>0.0</c:formatCode>
                <c:ptCount val="9"/>
                <c:pt idx="0">
                  <c:v>81.756756756756758</c:v>
                </c:pt>
                <c:pt idx="1">
                  <c:v>83.87715930902111</c:v>
                </c:pt>
                <c:pt idx="2">
                  <c:v>80.952380952380949</c:v>
                </c:pt>
                <c:pt idx="3">
                  <c:v>81.762295081967224</c:v>
                </c:pt>
                <c:pt idx="4">
                  <c:v>83.185840707964601</c:v>
                </c:pt>
                <c:pt idx="5">
                  <c:v>83.365200764818354</c:v>
                </c:pt>
                <c:pt idx="6">
                  <c:v>82.166666666666671</c:v>
                </c:pt>
                <c:pt idx="7">
                  <c:v>81.574239713774602</c:v>
                </c:pt>
                <c:pt idx="8">
                  <c:v>83.728278041074248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'Ret. y Efic. Term. Sist. CETYS'!$B$10</c:f>
              <c:strCache>
                <c:ptCount val="1"/>
                <c:pt idx="0">
                  <c:v>% Retención al año 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Term. Sist. CETYS'!$C$10:$J$10</c:f>
              <c:numCache>
                <c:formatCode>0.0</c:formatCode>
                <c:ptCount val="8"/>
                <c:pt idx="0">
                  <c:v>75.225225225225216</c:v>
                </c:pt>
                <c:pt idx="1">
                  <c:v>77.543186180422268</c:v>
                </c:pt>
                <c:pt idx="2">
                  <c:v>73.015873015873012</c:v>
                </c:pt>
                <c:pt idx="3">
                  <c:v>72.336065573770497</c:v>
                </c:pt>
                <c:pt idx="4">
                  <c:v>75.575221238938056</c:v>
                </c:pt>
                <c:pt idx="5">
                  <c:v>74.569789674952204</c:v>
                </c:pt>
                <c:pt idx="6">
                  <c:v>74.333333333333329</c:v>
                </c:pt>
                <c:pt idx="7">
                  <c:v>74.23971377459749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'Ret. y Efic. Term. Sist. CETYS'!$B$11</c:f>
              <c:strCache>
                <c:ptCount val="1"/>
                <c:pt idx="0">
                  <c:v>% Retención al año 3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pPr>
              <a:solidFill>
                <a:schemeClr val="tx1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Term. Sist. CETYS'!$C$11:$I$11</c:f>
              <c:numCache>
                <c:formatCode>0.0</c:formatCode>
                <c:ptCount val="7"/>
                <c:pt idx="0">
                  <c:v>71.171171171171167</c:v>
                </c:pt>
                <c:pt idx="1">
                  <c:v>73.512476007677535</c:v>
                </c:pt>
                <c:pt idx="2">
                  <c:v>68.650793650793645</c:v>
                </c:pt>
                <c:pt idx="3">
                  <c:v>67.213114754098356</c:v>
                </c:pt>
                <c:pt idx="4">
                  <c:v>71.150442477876112</c:v>
                </c:pt>
                <c:pt idx="5">
                  <c:v>67.686424474187376</c:v>
                </c:pt>
                <c:pt idx="6">
                  <c:v>68.5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'Ret. y Efic. Term. Sist. CETYS'!$B$12</c:f>
              <c:strCache>
                <c:ptCount val="1"/>
                <c:pt idx="0">
                  <c:v>% Eficiencia al año 4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Term. Sist. CETYS'!$C$12:$H$12</c:f>
              <c:numCache>
                <c:formatCode>0.0</c:formatCode>
                <c:ptCount val="6"/>
                <c:pt idx="0">
                  <c:v>53.153153153153156</c:v>
                </c:pt>
                <c:pt idx="1">
                  <c:v>54.894433781190024</c:v>
                </c:pt>
                <c:pt idx="2">
                  <c:v>49.801587301587304</c:v>
                </c:pt>
                <c:pt idx="3">
                  <c:v>48.360655737704917</c:v>
                </c:pt>
                <c:pt idx="4">
                  <c:v>55.221238938053098</c:v>
                </c:pt>
                <c:pt idx="5">
                  <c:v>50.478011472275327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'Ret. y Efic. Term. Sist. CETYS'!$B$13</c:f>
              <c:strCache>
                <c:ptCount val="1"/>
                <c:pt idx="0">
                  <c:v>% Eficiencia al año 5</c:v>
                </c:pt>
              </c:strCache>
            </c:strRef>
          </c:tx>
          <c:spPr>
            <a:ln>
              <a:solidFill>
                <a:srgbClr val="CC3300"/>
              </a:solidFill>
            </a:ln>
          </c:spPr>
          <c:marker>
            <c:symbol val="square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Term. Sist. CETYS'!$C$13:$G$13</c:f>
              <c:numCache>
                <c:formatCode>0.0</c:formatCode>
                <c:ptCount val="5"/>
                <c:pt idx="0">
                  <c:v>62.162162162162161</c:v>
                </c:pt>
                <c:pt idx="1">
                  <c:v>63.531669865642989</c:v>
                </c:pt>
                <c:pt idx="2">
                  <c:v>57.539682539682538</c:v>
                </c:pt>
                <c:pt idx="3">
                  <c:v>57.172131147540981</c:v>
                </c:pt>
                <c:pt idx="4">
                  <c:v>63.89380530973451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'Ret. y Efic. Term. Sist. CETYS'!$B$14</c:f>
              <c:strCache>
                <c:ptCount val="1"/>
                <c:pt idx="0">
                  <c:v>% Eficiencia al año 6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chemeClr val="tx1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Term. Sist. CETYS'!$C$14:$F$14</c:f>
              <c:numCache>
                <c:formatCode>0.0</c:formatCode>
                <c:ptCount val="4"/>
                <c:pt idx="0">
                  <c:v>64.86486486486487</c:v>
                </c:pt>
                <c:pt idx="1">
                  <c:v>65.451055662188097</c:v>
                </c:pt>
                <c:pt idx="2">
                  <c:v>61.706349206349209</c:v>
                </c:pt>
                <c:pt idx="3">
                  <c:v>58.606557377049185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00640"/>
        <c:axId val="63206528"/>
      </c:lineChart>
      <c:catAx>
        <c:axId val="6320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206528"/>
        <c:crosses val="autoZero"/>
        <c:auto val="1"/>
        <c:lblAlgn val="ctr"/>
        <c:lblOffset val="100"/>
        <c:noMultiLvlLbl val="0"/>
      </c:catAx>
      <c:valAx>
        <c:axId val="632065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632006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>
                <a:solidFill>
                  <a:srgbClr val="0000CC"/>
                </a:solidFill>
                <a:latin typeface="Arial Narrow" panose="020B0606020202030204" pitchFamily="34" charset="0"/>
              </a:defRPr>
            </a:pPr>
            <a:r>
              <a:rPr lang="en-US" sz="2400">
                <a:solidFill>
                  <a:srgbClr val="0000CC"/>
                </a:solidFill>
                <a:latin typeface="Arial Narrow" panose="020B0606020202030204" pitchFamily="34" charset="0"/>
              </a:rPr>
              <a:t>Población</a:t>
            </a:r>
            <a:r>
              <a:rPr lang="en-US" sz="2400" baseline="0">
                <a:solidFill>
                  <a:srgbClr val="0000CC"/>
                </a:solidFill>
                <a:latin typeface="Arial Narrow" panose="020B0606020202030204" pitchFamily="34" charset="0"/>
              </a:rPr>
              <a:t> inicial del Colegio de CSYH</a:t>
            </a:r>
            <a:endParaRPr lang="en-US" sz="2400">
              <a:solidFill>
                <a:srgbClr val="0000CC"/>
              </a:solidFill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'Género por Colegio'!$B$11</c:f>
              <c:strCache>
                <c:ptCount val="1"/>
                <c:pt idx="0">
                  <c:v>Población inicial CSYH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>
                <a:solidFill>
                  <a:schemeClr val="tx1"/>
                </a:solidFill>
                <a:prstDash val="sysDash"/>
              </a:ln>
            </c:spPr>
            <c:trendlineType val="linear"/>
            <c:dispRSqr val="0"/>
            <c:dispEq val="0"/>
          </c:trendline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'Género por Colegio'!$C$11:$K$11</c:f>
              <c:numCache>
                <c:formatCode>General</c:formatCode>
                <c:ptCount val="9"/>
                <c:pt idx="0">
                  <c:v>66</c:v>
                </c:pt>
                <c:pt idx="1">
                  <c:v>69</c:v>
                </c:pt>
                <c:pt idx="2">
                  <c:v>54</c:v>
                </c:pt>
                <c:pt idx="3">
                  <c:v>51</c:v>
                </c:pt>
                <c:pt idx="4">
                  <c:v>75</c:v>
                </c:pt>
                <c:pt idx="5">
                  <c:v>75</c:v>
                </c:pt>
                <c:pt idx="6">
                  <c:v>74</c:v>
                </c:pt>
                <c:pt idx="7">
                  <c:v>64</c:v>
                </c:pt>
                <c:pt idx="8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19392"/>
        <c:axId val="82182144"/>
      </c:lineChart>
      <c:catAx>
        <c:axId val="6421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182144"/>
        <c:crosses val="autoZero"/>
        <c:auto val="1"/>
        <c:lblAlgn val="ctr"/>
        <c:lblOffset val="100"/>
        <c:noMultiLvlLbl val="0"/>
      </c:catAx>
      <c:valAx>
        <c:axId val="82182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2193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>
                <a:solidFill>
                  <a:srgbClr val="0000CC"/>
                </a:solidFill>
                <a:latin typeface="Arial Narrow" panose="020B0606020202030204" pitchFamily="34" charset="0"/>
              </a:defRPr>
            </a:pPr>
            <a:r>
              <a:rPr lang="en-US" sz="2400">
                <a:solidFill>
                  <a:srgbClr val="0000CC"/>
                </a:solidFill>
                <a:latin typeface="Arial Narrow" panose="020B0606020202030204" pitchFamily="34" charset="0"/>
              </a:rPr>
              <a:t>Distribución</a:t>
            </a:r>
            <a:r>
              <a:rPr lang="en-US" sz="2400" baseline="0">
                <a:solidFill>
                  <a:srgbClr val="0000CC"/>
                </a:solidFill>
                <a:latin typeface="Arial Narrow" panose="020B0606020202030204" pitchFamily="34" charset="0"/>
              </a:rPr>
              <a:t> de Género del Colegio de CSYH</a:t>
            </a:r>
            <a:endParaRPr lang="en-US" sz="2400">
              <a:solidFill>
                <a:srgbClr val="0000CC"/>
              </a:solidFill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'Género por Colegio'!$B$12</c:f>
              <c:strCache>
                <c:ptCount val="1"/>
                <c:pt idx="0">
                  <c:v>% de Hombres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'Género por Colegio'!$C$12:$K$12</c:f>
              <c:numCache>
                <c:formatCode>0.00</c:formatCode>
                <c:ptCount val="9"/>
                <c:pt idx="0">
                  <c:v>24.242424242424242</c:v>
                </c:pt>
                <c:pt idx="1">
                  <c:v>34.782608695652172</c:v>
                </c:pt>
                <c:pt idx="2">
                  <c:v>31.481481481481481</c:v>
                </c:pt>
                <c:pt idx="3">
                  <c:v>31.372549019607842</c:v>
                </c:pt>
                <c:pt idx="4">
                  <c:v>26.666666666666668</c:v>
                </c:pt>
                <c:pt idx="5">
                  <c:v>29.333333333333332</c:v>
                </c:pt>
                <c:pt idx="6">
                  <c:v>32.432432432432435</c:v>
                </c:pt>
                <c:pt idx="7">
                  <c:v>26.5625</c:v>
                </c:pt>
                <c:pt idx="8">
                  <c:v>28.421052631578945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'Género por Colegio'!$B$13</c:f>
              <c:strCache>
                <c:ptCount val="1"/>
                <c:pt idx="0">
                  <c:v>% de Mujeres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'Género por Colegio'!$C$13:$K$13</c:f>
              <c:numCache>
                <c:formatCode>0.00</c:formatCode>
                <c:ptCount val="9"/>
                <c:pt idx="0">
                  <c:v>75.757575757575751</c:v>
                </c:pt>
                <c:pt idx="1">
                  <c:v>65.217391304347828</c:v>
                </c:pt>
                <c:pt idx="2">
                  <c:v>68.518518518518519</c:v>
                </c:pt>
                <c:pt idx="3">
                  <c:v>68.627450980392155</c:v>
                </c:pt>
                <c:pt idx="4">
                  <c:v>73.333333333333329</c:v>
                </c:pt>
                <c:pt idx="5">
                  <c:v>70.666666666666671</c:v>
                </c:pt>
                <c:pt idx="6">
                  <c:v>67.567567567567565</c:v>
                </c:pt>
                <c:pt idx="7">
                  <c:v>73.4375</c:v>
                </c:pt>
                <c:pt idx="8">
                  <c:v>71.578947368421055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08256"/>
        <c:axId val="82209792"/>
      </c:lineChart>
      <c:catAx>
        <c:axId val="8220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209792"/>
        <c:crosses val="autoZero"/>
        <c:auto val="1"/>
        <c:lblAlgn val="ctr"/>
        <c:lblOffset val="100"/>
        <c:noMultiLvlLbl val="0"/>
      </c:catAx>
      <c:valAx>
        <c:axId val="82209792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22082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>
                <a:latin typeface="Arial Narrow" panose="020B0606020202030204" pitchFamily="34" charset="0"/>
              </a:defRPr>
            </a:pPr>
            <a:r>
              <a:rPr lang="en-US" sz="2400">
                <a:latin typeface="Arial Narrow" panose="020B0606020202030204" pitchFamily="34" charset="0"/>
              </a:rPr>
              <a:t>Población</a:t>
            </a:r>
            <a:r>
              <a:rPr lang="en-US" sz="2400" baseline="0">
                <a:latin typeface="Arial Narrow" panose="020B0606020202030204" pitchFamily="34" charset="0"/>
              </a:rPr>
              <a:t> inicial del Colegio de ING</a:t>
            </a:r>
            <a:endParaRPr lang="en-US" sz="2400"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'Género por Colegio'!$B$14</c:f>
              <c:strCache>
                <c:ptCount val="1"/>
                <c:pt idx="0">
                  <c:v>Población inicial ING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>
                <a:solidFill>
                  <a:schemeClr val="tx1"/>
                </a:solidFill>
                <a:prstDash val="sysDash"/>
              </a:ln>
            </c:spPr>
            <c:trendlineType val="linear"/>
            <c:dispRSqr val="0"/>
            <c:dispEq val="0"/>
          </c:trendline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'Género por Colegio'!$C$14:$K$14</c:f>
              <c:numCache>
                <c:formatCode>General</c:formatCode>
                <c:ptCount val="9"/>
                <c:pt idx="0">
                  <c:v>143</c:v>
                </c:pt>
                <c:pt idx="1">
                  <c:v>181</c:v>
                </c:pt>
                <c:pt idx="2">
                  <c:v>227</c:v>
                </c:pt>
                <c:pt idx="3">
                  <c:v>254</c:v>
                </c:pt>
                <c:pt idx="4">
                  <c:v>292</c:v>
                </c:pt>
                <c:pt idx="5">
                  <c:v>267</c:v>
                </c:pt>
                <c:pt idx="6">
                  <c:v>281</c:v>
                </c:pt>
                <c:pt idx="7">
                  <c:v>285</c:v>
                </c:pt>
                <c:pt idx="8">
                  <c:v>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43968"/>
        <c:axId val="82245504"/>
      </c:lineChart>
      <c:catAx>
        <c:axId val="8224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245504"/>
        <c:crosses val="autoZero"/>
        <c:auto val="1"/>
        <c:lblAlgn val="ctr"/>
        <c:lblOffset val="100"/>
        <c:noMultiLvlLbl val="0"/>
      </c:catAx>
      <c:valAx>
        <c:axId val="82245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2439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>
                <a:latin typeface="Arial Narrow" panose="020B0606020202030204" pitchFamily="34" charset="0"/>
              </a:defRPr>
            </a:pPr>
            <a:r>
              <a:rPr lang="en-US" sz="2400" baseline="0">
                <a:latin typeface="Arial Narrow" panose="020B0606020202030204" pitchFamily="34" charset="0"/>
              </a:rPr>
              <a:t>Distribución de Género del Colegio de ING</a:t>
            </a:r>
            <a:endParaRPr lang="en-US" sz="2400"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'Género por Colegio'!$B$15</c:f>
              <c:strCache>
                <c:ptCount val="1"/>
                <c:pt idx="0">
                  <c:v>% de Hombres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'Género por Colegio'!$C$15:$K$15</c:f>
              <c:numCache>
                <c:formatCode>0.00</c:formatCode>
                <c:ptCount val="9"/>
                <c:pt idx="0">
                  <c:v>68.531468531468533</c:v>
                </c:pt>
                <c:pt idx="1">
                  <c:v>76.243093922651937</c:v>
                </c:pt>
                <c:pt idx="2">
                  <c:v>75.330396475770925</c:v>
                </c:pt>
                <c:pt idx="3">
                  <c:v>77.952755905511808</c:v>
                </c:pt>
                <c:pt idx="4">
                  <c:v>72.945205479452056</c:v>
                </c:pt>
                <c:pt idx="5">
                  <c:v>68.539325842696627</c:v>
                </c:pt>
                <c:pt idx="6">
                  <c:v>75.80071174377224</c:v>
                </c:pt>
                <c:pt idx="7">
                  <c:v>69.122807017543863</c:v>
                </c:pt>
                <c:pt idx="8">
                  <c:v>73.754152823920265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'Género por Colegio'!$B$16</c:f>
              <c:strCache>
                <c:ptCount val="1"/>
                <c:pt idx="0">
                  <c:v>% de Mujeres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'Género por Colegio'!$C$16:$K$16</c:f>
              <c:numCache>
                <c:formatCode>0.00</c:formatCode>
                <c:ptCount val="9"/>
                <c:pt idx="0">
                  <c:v>31.46853146853147</c:v>
                </c:pt>
                <c:pt idx="1">
                  <c:v>23.756906077348066</c:v>
                </c:pt>
                <c:pt idx="2">
                  <c:v>24.669603524229075</c:v>
                </c:pt>
                <c:pt idx="3">
                  <c:v>22.047244094488189</c:v>
                </c:pt>
                <c:pt idx="4">
                  <c:v>27.054794520547947</c:v>
                </c:pt>
                <c:pt idx="5">
                  <c:v>31.460674157303369</c:v>
                </c:pt>
                <c:pt idx="6">
                  <c:v>24.199288256227756</c:v>
                </c:pt>
                <c:pt idx="7">
                  <c:v>30.87719298245614</c:v>
                </c:pt>
                <c:pt idx="8">
                  <c:v>26.245847176079735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88000"/>
        <c:axId val="82293888"/>
      </c:lineChart>
      <c:catAx>
        <c:axId val="8228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293888"/>
        <c:crosses val="autoZero"/>
        <c:auto val="1"/>
        <c:lblAlgn val="ctr"/>
        <c:lblOffset val="100"/>
        <c:noMultiLvlLbl val="0"/>
      </c:catAx>
      <c:valAx>
        <c:axId val="82293888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22880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>
                <a:solidFill>
                  <a:srgbClr val="FF0000"/>
                </a:solidFill>
                <a:latin typeface="Arial Narrow" panose="020B0606020202030204" pitchFamily="34" charset="0"/>
              </a:rPr>
              <a:t>Campus</a:t>
            </a:r>
            <a:r>
              <a:rPr lang="en-US" sz="2400" baseline="0">
                <a:solidFill>
                  <a:srgbClr val="FF0000"/>
                </a:solidFill>
                <a:latin typeface="Arial Narrow" panose="020B0606020202030204" pitchFamily="34" charset="0"/>
              </a:rPr>
              <a:t> Ensenada</a:t>
            </a:r>
            <a:endParaRPr lang="en-US" sz="2400">
              <a:solidFill>
                <a:srgbClr val="FF0000"/>
              </a:solidFill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'Ret. y Efic. AYN por Campus'!$B$11</c:f>
              <c:strCache>
                <c:ptCount val="1"/>
                <c:pt idx="0">
                  <c:v>% Retención al año 1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AYN por Campus'!$C$11:$K$11</c:f>
              <c:numCache>
                <c:formatCode>0.0</c:formatCode>
                <c:ptCount val="9"/>
                <c:pt idx="0">
                  <c:v>79.166666666666657</c:v>
                </c:pt>
                <c:pt idx="1">
                  <c:v>68.965517241379317</c:v>
                </c:pt>
                <c:pt idx="2">
                  <c:v>76.744186046511629</c:v>
                </c:pt>
                <c:pt idx="3">
                  <c:v>66.037735849056602</c:v>
                </c:pt>
                <c:pt idx="4">
                  <c:v>77.272727272727266</c:v>
                </c:pt>
                <c:pt idx="5">
                  <c:v>83.720930232558146</c:v>
                </c:pt>
                <c:pt idx="6">
                  <c:v>43.859649122807014</c:v>
                </c:pt>
                <c:pt idx="7">
                  <c:v>59.45945945945946</c:v>
                </c:pt>
                <c:pt idx="8">
                  <c:v>67.64705882352942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'Ret. y Efic. AYN por Campus'!$B$12</c:f>
              <c:strCache>
                <c:ptCount val="1"/>
                <c:pt idx="0">
                  <c:v>% Retención al año 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0000CC"/>
              </a:solidFill>
            </c:spPr>
          </c:marker>
          <c:dLbls>
            <c:dLbl>
              <c:idx val="3"/>
              <c:layout>
                <c:manualLayout>
                  <c:x val="-7.6209371980235178E-17"/>
                  <c:y val="-1.4477022685152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784614279291862E-3"/>
                  <c:y val="-1.4477022685152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8589227121663154E-2"/>
                  <c:y val="5.79080907406102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78461427929194E-2"/>
                  <c:y val="-2.8954045370305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AYN por Campus'!$C$12:$J$12</c:f>
              <c:numCache>
                <c:formatCode>0.0</c:formatCode>
                <c:ptCount val="8"/>
                <c:pt idx="0">
                  <c:v>68.75</c:v>
                </c:pt>
                <c:pt idx="1">
                  <c:v>65.517241379310349</c:v>
                </c:pt>
                <c:pt idx="2">
                  <c:v>69.767441860465112</c:v>
                </c:pt>
                <c:pt idx="3">
                  <c:v>60.377358490566039</c:v>
                </c:pt>
                <c:pt idx="4">
                  <c:v>56.81818181818182</c:v>
                </c:pt>
                <c:pt idx="5">
                  <c:v>72.093023255813947</c:v>
                </c:pt>
                <c:pt idx="6">
                  <c:v>71.929824561403507</c:v>
                </c:pt>
                <c:pt idx="7">
                  <c:v>51.351351351351347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'Ret. y Efic. AYN por Campus'!$B$13</c:f>
              <c:strCache>
                <c:ptCount val="1"/>
                <c:pt idx="0">
                  <c:v>% Retención al año 3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pPr>
              <a:solidFill>
                <a:schemeClr val="tx1"/>
              </a:solidFill>
            </c:spPr>
          </c:marker>
          <c:dLbls>
            <c:dLbl>
              <c:idx val="3"/>
              <c:layout>
                <c:manualLayout>
                  <c:x val="-6.2353842837875968E-3"/>
                  <c:y val="2.0267831759213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6209371980235178E-17"/>
                  <c:y val="2.6058640833274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AYN por Campus'!$C$13:$I$13</c:f>
              <c:numCache>
                <c:formatCode>0.0</c:formatCode>
                <c:ptCount val="7"/>
                <c:pt idx="0">
                  <c:v>66.666666666666657</c:v>
                </c:pt>
                <c:pt idx="1">
                  <c:v>55.172413793103445</c:v>
                </c:pt>
                <c:pt idx="2">
                  <c:v>69.767441860465112</c:v>
                </c:pt>
                <c:pt idx="3">
                  <c:v>54.716981132075468</c:v>
                </c:pt>
                <c:pt idx="4">
                  <c:v>54.54545454545454</c:v>
                </c:pt>
                <c:pt idx="5">
                  <c:v>60.465116279069761</c:v>
                </c:pt>
                <c:pt idx="6">
                  <c:v>70.175438596491219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'Ret. y Efic. AYN por Campus'!$B$14</c:f>
              <c:strCache>
                <c:ptCount val="1"/>
                <c:pt idx="0">
                  <c:v>% Eficiencia al año 4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AYN por Campus'!$C$14:$H$14</c:f>
              <c:numCache>
                <c:formatCode>0.0</c:formatCode>
                <c:ptCount val="6"/>
                <c:pt idx="0">
                  <c:v>29.166666666666668</c:v>
                </c:pt>
                <c:pt idx="1">
                  <c:v>36.206896551724135</c:v>
                </c:pt>
                <c:pt idx="2">
                  <c:v>41.860465116279073</c:v>
                </c:pt>
                <c:pt idx="3">
                  <c:v>28.30188679245283</c:v>
                </c:pt>
                <c:pt idx="4">
                  <c:v>29.545454545454547</c:v>
                </c:pt>
                <c:pt idx="5">
                  <c:v>37.209302325581397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'Ret. y Efic. AYN por Campus'!$B$15</c:f>
              <c:strCache>
                <c:ptCount val="1"/>
                <c:pt idx="0">
                  <c:v>% Eficiencia al año 5</c:v>
                </c:pt>
              </c:strCache>
            </c:strRef>
          </c:tx>
          <c:spPr>
            <a:ln>
              <a:solidFill>
                <a:srgbClr val="CC3300"/>
              </a:solidFill>
            </a:ln>
          </c:spPr>
          <c:marker>
            <c:symbol val="square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AYN por Campus'!$C$15:$G$15</c:f>
              <c:numCache>
                <c:formatCode>0.0</c:formatCode>
                <c:ptCount val="5"/>
                <c:pt idx="0">
                  <c:v>43.75</c:v>
                </c:pt>
                <c:pt idx="1">
                  <c:v>44.827586206896555</c:v>
                </c:pt>
                <c:pt idx="2">
                  <c:v>51.162790697674424</c:v>
                </c:pt>
                <c:pt idx="3">
                  <c:v>47.169811320754718</c:v>
                </c:pt>
                <c:pt idx="4">
                  <c:v>40.909090909090914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'Ret. y Efic. AYN por Campus'!$B$16</c:f>
              <c:strCache>
                <c:ptCount val="1"/>
                <c:pt idx="0">
                  <c:v>% Eficiencia al año 6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chemeClr val="tx1"/>
              </a:solidFill>
            </c:spPr>
          </c:marker>
          <c:dLbls>
            <c:dLbl>
              <c:idx val="1"/>
              <c:layout>
                <c:manualLayout>
                  <c:x val="-3.1176921418937794E-2"/>
                  <c:y val="-2.0267831759213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AYN por Campus'!$C$16:$F$16</c:f>
              <c:numCache>
                <c:formatCode>0.0</c:formatCode>
                <c:ptCount val="4"/>
                <c:pt idx="0">
                  <c:v>52.083333333333336</c:v>
                </c:pt>
                <c:pt idx="1">
                  <c:v>46.551724137931032</c:v>
                </c:pt>
                <c:pt idx="2">
                  <c:v>55.813953488372093</c:v>
                </c:pt>
                <c:pt idx="3">
                  <c:v>47.169811320754718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9040"/>
        <c:axId val="63960576"/>
      </c:lineChart>
      <c:catAx>
        <c:axId val="639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960576"/>
        <c:crosses val="autoZero"/>
        <c:auto val="1"/>
        <c:lblAlgn val="ctr"/>
        <c:lblOffset val="100"/>
        <c:noMultiLvlLbl val="0"/>
      </c:catAx>
      <c:valAx>
        <c:axId val="63960576"/>
        <c:scaling>
          <c:orientation val="minMax"/>
          <c:max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639590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>
                <a:solidFill>
                  <a:srgbClr val="3366FF"/>
                </a:solidFill>
                <a:latin typeface="Arial Narrow" panose="020B0606020202030204" pitchFamily="34" charset="0"/>
              </a:rPr>
              <a:t>Campus</a:t>
            </a:r>
            <a:r>
              <a:rPr lang="en-US" sz="2400" baseline="0">
                <a:solidFill>
                  <a:srgbClr val="3366FF"/>
                </a:solidFill>
                <a:latin typeface="Arial Narrow" panose="020B0606020202030204" pitchFamily="34" charset="0"/>
              </a:rPr>
              <a:t> Mexicali</a:t>
            </a:r>
            <a:endParaRPr lang="en-US" sz="2400">
              <a:solidFill>
                <a:srgbClr val="3366FF"/>
              </a:solidFill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'Ret. y Efic. AYN por Campus'!$B$11</c:f>
              <c:strCache>
                <c:ptCount val="1"/>
                <c:pt idx="0">
                  <c:v>% Retención al año 1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AYN por Campus'!$C$18:$K$18</c:f>
              <c:numCache>
                <c:formatCode>0.0</c:formatCode>
                <c:ptCount val="9"/>
                <c:pt idx="0">
                  <c:v>85.217391304347828</c:v>
                </c:pt>
                <c:pt idx="1">
                  <c:v>81.954887218045116</c:v>
                </c:pt>
                <c:pt idx="2">
                  <c:v>80</c:v>
                </c:pt>
                <c:pt idx="3">
                  <c:v>83.333333333333343</c:v>
                </c:pt>
                <c:pt idx="4">
                  <c:v>84.269662921348313</c:v>
                </c:pt>
                <c:pt idx="5">
                  <c:v>73.91304347826086</c:v>
                </c:pt>
                <c:pt idx="6">
                  <c:v>85.416666666666657</c:v>
                </c:pt>
                <c:pt idx="7">
                  <c:v>79.775280898876403</c:v>
                </c:pt>
                <c:pt idx="8">
                  <c:v>84.337349397590373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'Ret. y Efic. AYN por Campus'!$B$12</c:f>
              <c:strCache>
                <c:ptCount val="1"/>
                <c:pt idx="0">
                  <c:v>% Retención al año 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0000CC"/>
              </a:solidFill>
            </c:spPr>
          </c:marker>
          <c:dLbls>
            <c:dLbl>
              <c:idx val="0"/>
              <c:layout>
                <c:manualLayout>
                  <c:x val="-4.1569228558583724E-3"/>
                  <c:y val="-1.7372427222183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2353842837875586E-3"/>
                  <c:y val="-2.6058640833274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6209371980235178E-17"/>
                  <c:y val="-1.4477022685152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784614279291862E-3"/>
                  <c:y val="-1.4477022685152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78461427929194E-2"/>
                  <c:y val="-2.8954045370305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AYN por Campus'!$C$19:$J$19</c:f>
              <c:numCache>
                <c:formatCode>0.0</c:formatCode>
                <c:ptCount val="8"/>
                <c:pt idx="0">
                  <c:v>79.130434782608688</c:v>
                </c:pt>
                <c:pt idx="1">
                  <c:v>75.939849624060145</c:v>
                </c:pt>
                <c:pt idx="2">
                  <c:v>69.523809523809518</c:v>
                </c:pt>
                <c:pt idx="3">
                  <c:v>69.696969696969703</c:v>
                </c:pt>
                <c:pt idx="4">
                  <c:v>73.033707865168537</c:v>
                </c:pt>
                <c:pt idx="5">
                  <c:v>66.666666666666657</c:v>
                </c:pt>
                <c:pt idx="6">
                  <c:v>79.166666666666657</c:v>
                </c:pt>
                <c:pt idx="7">
                  <c:v>76.404494382022463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'Ret. y Efic. AYN por Campus'!$B$13</c:f>
              <c:strCache>
                <c:ptCount val="1"/>
                <c:pt idx="0">
                  <c:v>% Retención al año 3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pPr>
              <a:solidFill>
                <a:schemeClr val="tx1"/>
              </a:solidFill>
            </c:spPr>
          </c:marker>
          <c:dLbls>
            <c:dLbl>
              <c:idx val="1"/>
              <c:layout>
                <c:manualLayout>
                  <c:x val="-2.9098459991008626E-2"/>
                  <c:y val="2.3163236296244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2353842837875968E-3"/>
                  <c:y val="2.0267831759213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6209371980235178E-17"/>
                  <c:y val="2.6058640833274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AYN por Campus'!$C$20:$I$20</c:f>
              <c:numCache>
                <c:formatCode>0.0</c:formatCode>
                <c:ptCount val="7"/>
                <c:pt idx="0">
                  <c:v>76.521739130434781</c:v>
                </c:pt>
                <c:pt idx="1">
                  <c:v>75.187969924812023</c:v>
                </c:pt>
                <c:pt idx="2">
                  <c:v>67.61904761904762</c:v>
                </c:pt>
                <c:pt idx="3">
                  <c:v>62.121212121212125</c:v>
                </c:pt>
                <c:pt idx="4">
                  <c:v>61.797752808988761</c:v>
                </c:pt>
                <c:pt idx="5">
                  <c:v>59.420289855072461</c:v>
                </c:pt>
                <c:pt idx="6">
                  <c:v>71.875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'Ret. y Efic. AYN por Campus'!$B$14</c:f>
              <c:strCache>
                <c:ptCount val="1"/>
                <c:pt idx="0">
                  <c:v>% Eficiencia al año 4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AYN por Campus'!$C$21:$H$21</c:f>
              <c:numCache>
                <c:formatCode>0.0</c:formatCode>
                <c:ptCount val="6"/>
                <c:pt idx="0">
                  <c:v>60.869565217391312</c:v>
                </c:pt>
                <c:pt idx="1">
                  <c:v>54.887218045112782</c:v>
                </c:pt>
                <c:pt idx="2">
                  <c:v>53.333333333333336</c:v>
                </c:pt>
                <c:pt idx="3">
                  <c:v>45.454545454545453</c:v>
                </c:pt>
                <c:pt idx="4">
                  <c:v>49.438202247191008</c:v>
                </c:pt>
                <c:pt idx="5">
                  <c:v>50.724637681159422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'Ret. y Efic. AYN por Campus'!$B$15</c:f>
              <c:strCache>
                <c:ptCount val="1"/>
                <c:pt idx="0">
                  <c:v>% Eficiencia al año 5</c:v>
                </c:pt>
              </c:strCache>
            </c:strRef>
          </c:tx>
          <c:spPr>
            <a:ln>
              <a:solidFill>
                <a:srgbClr val="CC3300"/>
              </a:solidFill>
            </a:ln>
          </c:spPr>
          <c:marker>
            <c:symbol val="square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AYN por Campus'!$C$22:$G$22</c:f>
              <c:numCache>
                <c:formatCode>0.0</c:formatCode>
                <c:ptCount val="5"/>
                <c:pt idx="0">
                  <c:v>69.565217391304344</c:v>
                </c:pt>
                <c:pt idx="1">
                  <c:v>61.65413533834586</c:v>
                </c:pt>
                <c:pt idx="2">
                  <c:v>58.095238095238102</c:v>
                </c:pt>
                <c:pt idx="3">
                  <c:v>53.030303030303031</c:v>
                </c:pt>
                <c:pt idx="4">
                  <c:v>56.17977528089888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'Ret. y Efic. AYN por Campus'!$B$16</c:f>
              <c:strCache>
                <c:ptCount val="1"/>
                <c:pt idx="0">
                  <c:v>% Eficiencia al año 6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chemeClr val="tx1"/>
              </a:solidFill>
            </c:spPr>
          </c:marker>
          <c:dLbls>
            <c:dLbl>
              <c:idx val="0"/>
              <c:layout>
                <c:manualLayout>
                  <c:x val="0"/>
                  <c:y val="-8.6862136110915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176921418937794E-2"/>
                  <c:y val="-2.0267831759213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138457117167448E-3"/>
                  <c:y val="-2.3163236296244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AYN por Campus'!$C$23:$F$23</c:f>
              <c:numCache>
                <c:formatCode>0.0</c:formatCode>
                <c:ptCount val="4"/>
                <c:pt idx="0">
                  <c:v>72.173913043478265</c:v>
                </c:pt>
                <c:pt idx="1">
                  <c:v>63.909774436090231</c:v>
                </c:pt>
                <c:pt idx="2">
                  <c:v>60</c:v>
                </c:pt>
                <c:pt idx="3">
                  <c:v>54.54545454545454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333696"/>
        <c:axId val="82335232"/>
      </c:lineChart>
      <c:catAx>
        <c:axId val="8233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335232"/>
        <c:crosses val="autoZero"/>
        <c:auto val="1"/>
        <c:lblAlgn val="ctr"/>
        <c:lblOffset val="100"/>
        <c:noMultiLvlLbl val="0"/>
      </c:catAx>
      <c:valAx>
        <c:axId val="82335232"/>
        <c:scaling>
          <c:orientation val="minMax"/>
          <c:max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23336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Campus</a:t>
            </a:r>
            <a:r>
              <a:rPr lang="en-US" sz="2400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Tijuana</a:t>
            </a:r>
            <a:endParaRPr lang="en-US" sz="2400">
              <a:solidFill>
                <a:sysClr val="windowText" lastClr="000000"/>
              </a:solidFill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'Ret. y Efic. AYN por Campus'!$B$11</c:f>
              <c:strCache>
                <c:ptCount val="1"/>
                <c:pt idx="0">
                  <c:v>% Retención al año 1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AYN por Campus'!$C$25:$K$25</c:f>
              <c:numCache>
                <c:formatCode>0.0</c:formatCode>
                <c:ptCount val="9"/>
                <c:pt idx="0">
                  <c:v>76.388888888888886</c:v>
                </c:pt>
                <c:pt idx="1">
                  <c:v>82.5</c:v>
                </c:pt>
                <c:pt idx="2">
                  <c:v>85.333333333333343</c:v>
                </c:pt>
                <c:pt idx="3">
                  <c:v>81.25</c:v>
                </c:pt>
                <c:pt idx="4">
                  <c:v>80</c:v>
                </c:pt>
                <c:pt idx="5">
                  <c:v>85.507246376811594</c:v>
                </c:pt>
                <c:pt idx="6">
                  <c:v>77.173913043478265</c:v>
                </c:pt>
                <c:pt idx="7">
                  <c:v>80.952380952380949</c:v>
                </c:pt>
                <c:pt idx="8">
                  <c:v>81.666666666666671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'Ret. y Efic. AYN por Campus'!$B$12</c:f>
              <c:strCache>
                <c:ptCount val="1"/>
                <c:pt idx="0">
                  <c:v>% Retención al año 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0000CC"/>
              </a:solidFill>
            </c:spPr>
          </c:marker>
          <c:dLbls>
            <c:dLbl>
              <c:idx val="3"/>
              <c:layout>
                <c:manualLayout>
                  <c:x val="-7.6209371980235178E-17"/>
                  <c:y val="-1.4477022685152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784614279291862E-3"/>
                  <c:y val="-1.4477022685152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78461427929194E-2"/>
                  <c:y val="-2.8954045370305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AYN por Campus'!$C$26:$J$26</c:f>
              <c:numCache>
                <c:formatCode>0.0</c:formatCode>
                <c:ptCount val="8"/>
                <c:pt idx="0">
                  <c:v>66.666666666666657</c:v>
                </c:pt>
                <c:pt idx="1">
                  <c:v>72.5</c:v>
                </c:pt>
                <c:pt idx="2">
                  <c:v>69.333333333333343</c:v>
                </c:pt>
                <c:pt idx="3">
                  <c:v>65.625</c:v>
                </c:pt>
                <c:pt idx="4">
                  <c:v>75.384615384615387</c:v>
                </c:pt>
                <c:pt idx="5">
                  <c:v>76.811594202898547</c:v>
                </c:pt>
                <c:pt idx="6">
                  <c:v>68.478260869565219</c:v>
                </c:pt>
                <c:pt idx="7">
                  <c:v>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'Ret. y Efic. AYN por Campus'!$B$13</c:f>
              <c:strCache>
                <c:ptCount val="1"/>
                <c:pt idx="0">
                  <c:v>% Retención al año 3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pPr>
              <a:solidFill>
                <a:schemeClr val="tx1"/>
              </a:solidFill>
            </c:spPr>
          </c:marker>
          <c:dLbls>
            <c:dLbl>
              <c:idx val="2"/>
              <c:layout>
                <c:manualLayout>
                  <c:x val="-8.313845711716783E-3"/>
                  <c:y val="1.1581618148121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2353842837875968E-3"/>
                  <c:y val="2.0267831759213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6209371980235178E-17"/>
                  <c:y val="2.6058640833274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AYN por Campus'!$C$27:$I$27</c:f>
              <c:numCache>
                <c:formatCode>0.0</c:formatCode>
                <c:ptCount val="7"/>
                <c:pt idx="0">
                  <c:v>63.888888888888886</c:v>
                </c:pt>
                <c:pt idx="1">
                  <c:v>67.5</c:v>
                </c:pt>
                <c:pt idx="2">
                  <c:v>62.666666666666671</c:v>
                </c:pt>
                <c:pt idx="3">
                  <c:v>62.5</c:v>
                </c:pt>
                <c:pt idx="4">
                  <c:v>64.615384615384613</c:v>
                </c:pt>
                <c:pt idx="5">
                  <c:v>71.014492753623188</c:v>
                </c:pt>
                <c:pt idx="6">
                  <c:v>65.217391304347828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'Ret. y Efic. AYN por Campus'!$B$14</c:f>
              <c:strCache>
                <c:ptCount val="1"/>
                <c:pt idx="0">
                  <c:v>% Eficiencia al año 4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AYN por Campus'!$C$28:$H$28</c:f>
              <c:numCache>
                <c:formatCode>0.0</c:formatCode>
                <c:ptCount val="6"/>
                <c:pt idx="0">
                  <c:v>52.777777777777779</c:v>
                </c:pt>
                <c:pt idx="1">
                  <c:v>50</c:v>
                </c:pt>
                <c:pt idx="2">
                  <c:v>48</c:v>
                </c:pt>
                <c:pt idx="3">
                  <c:v>45.3125</c:v>
                </c:pt>
                <c:pt idx="4">
                  <c:v>50.769230769230766</c:v>
                </c:pt>
                <c:pt idx="5">
                  <c:v>59.420289855072461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'Ret. y Efic. AYN por Campus'!$B$15</c:f>
              <c:strCache>
                <c:ptCount val="1"/>
                <c:pt idx="0">
                  <c:v>% Eficiencia al año 5</c:v>
                </c:pt>
              </c:strCache>
            </c:strRef>
          </c:tx>
          <c:spPr>
            <a:ln>
              <a:solidFill>
                <a:srgbClr val="CC3300"/>
              </a:solidFill>
            </a:ln>
          </c:spPr>
          <c:marker>
            <c:symbol val="square"/>
            <c:size val="5"/>
            <c:spPr>
              <a:solidFill>
                <a:srgbClr val="0000CC"/>
              </a:solidFill>
            </c:spPr>
          </c:marker>
          <c:dLbls>
            <c:dLbl>
              <c:idx val="0"/>
              <c:layout>
                <c:manualLayout>
                  <c:x val="1.4549229995504304E-2"/>
                  <c:y val="8.68621361109148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2353842837875586E-3"/>
                  <c:y val="1.737242722218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AYN por Campus'!$C$29:$G$29</c:f>
              <c:numCache>
                <c:formatCode>0.0</c:formatCode>
                <c:ptCount val="5"/>
                <c:pt idx="0">
                  <c:v>62.5</c:v>
                </c:pt>
                <c:pt idx="1">
                  <c:v>56.25</c:v>
                </c:pt>
                <c:pt idx="2">
                  <c:v>56.000000000000007</c:v>
                </c:pt>
                <c:pt idx="3">
                  <c:v>53.125</c:v>
                </c:pt>
                <c:pt idx="4">
                  <c:v>63.076923076923073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'Ret. y Efic. AYN por Campus'!$B$16</c:f>
              <c:strCache>
                <c:ptCount val="1"/>
                <c:pt idx="0">
                  <c:v>% Eficiencia al año 6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chemeClr val="tx1"/>
              </a:solidFill>
            </c:spPr>
          </c:marker>
          <c:dLbls>
            <c:dLbl>
              <c:idx val="0"/>
              <c:layout>
                <c:manualLayout>
                  <c:x val="-8.3138457117167448E-3"/>
                  <c:y val="2.0267831759213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3138457117167448E-3"/>
                  <c:y val="-2.0267831759213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AYN por Campus'!$C$30:$F$30</c:f>
              <c:numCache>
                <c:formatCode>0.0</c:formatCode>
                <c:ptCount val="4"/>
                <c:pt idx="0">
                  <c:v>62.5</c:v>
                </c:pt>
                <c:pt idx="1">
                  <c:v>58.75</c:v>
                </c:pt>
                <c:pt idx="2">
                  <c:v>58.666666666666664</c:v>
                </c:pt>
                <c:pt idx="3">
                  <c:v>53.125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468288"/>
        <c:axId val="83469824"/>
      </c:lineChart>
      <c:catAx>
        <c:axId val="8346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469824"/>
        <c:crosses val="autoZero"/>
        <c:auto val="1"/>
        <c:lblAlgn val="ctr"/>
        <c:lblOffset val="100"/>
        <c:noMultiLvlLbl val="0"/>
      </c:catAx>
      <c:valAx>
        <c:axId val="83469824"/>
        <c:scaling>
          <c:orientation val="minMax"/>
          <c:max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34682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>
                <a:solidFill>
                  <a:srgbClr val="3366FF"/>
                </a:solidFill>
                <a:latin typeface="Arial Narrow" panose="020B0606020202030204" pitchFamily="34" charset="0"/>
              </a:rPr>
              <a:t>Campus</a:t>
            </a:r>
            <a:r>
              <a:rPr lang="en-US" sz="2400" baseline="0">
                <a:solidFill>
                  <a:srgbClr val="3366FF"/>
                </a:solidFill>
                <a:latin typeface="Arial Narrow" panose="020B0606020202030204" pitchFamily="34" charset="0"/>
              </a:rPr>
              <a:t> Mexicali</a:t>
            </a:r>
            <a:endParaRPr lang="en-US" sz="2400">
              <a:solidFill>
                <a:srgbClr val="3366FF"/>
              </a:solidFill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'Ret. y Efic. CSYH por Campus '!$B$12</c:f>
              <c:strCache>
                <c:ptCount val="1"/>
                <c:pt idx="0">
                  <c:v>% Retención al año 1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dLbl>
              <c:idx val="4"/>
              <c:layout>
                <c:manualLayout>
                  <c:x val="-2.9098459991008609E-2"/>
                  <c:y val="-3.4744854444366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CSYH por Campus '!$C$12:$K$12</c:f>
              <c:numCache>
                <c:formatCode>0.0</c:formatCode>
                <c:ptCount val="9"/>
                <c:pt idx="0">
                  <c:v>88.888888888888886</c:v>
                </c:pt>
                <c:pt idx="1">
                  <c:v>85</c:v>
                </c:pt>
                <c:pt idx="2">
                  <c:v>82.35294117647058</c:v>
                </c:pt>
                <c:pt idx="3">
                  <c:v>84.615384615384613</c:v>
                </c:pt>
                <c:pt idx="4">
                  <c:v>80</c:v>
                </c:pt>
                <c:pt idx="5">
                  <c:v>96.666666666666671</c:v>
                </c:pt>
                <c:pt idx="6">
                  <c:v>87.179487179487182</c:v>
                </c:pt>
                <c:pt idx="7">
                  <c:v>69.696969696969703</c:v>
                </c:pt>
                <c:pt idx="8">
                  <c:v>87.179487179487182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'Ret. y Efic. CSYH por Campus '!$B$13</c:f>
              <c:strCache>
                <c:ptCount val="1"/>
                <c:pt idx="0">
                  <c:v>% Retención al año 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0000CC"/>
              </a:solidFill>
            </c:spPr>
          </c:marker>
          <c:dLbls>
            <c:dLbl>
              <c:idx val="0"/>
              <c:layout>
                <c:manualLayout>
                  <c:x val="-4.1569228558583724E-3"/>
                  <c:y val="-1.7372427222183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392307139645951E-2"/>
                  <c:y val="-2.0267831759213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2353842837875968E-3"/>
                  <c:y val="-1.4477022685152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6209371980235178E-17"/>
                  <c:y val="-1.4477022685152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784614279291862E-3"/>
                  <c:y val="-1.4477022685152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78461427929194E-2"/>
                  <c:y val="-2.8954045370305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CSYH por Campus '!$C$13:$J$13</c:f>
              <c:numCache>
                <c:formatCode>0.0</c:formatCode>
                <c:ptCount val="8"/>
                <c:pt idx="0">
                  <c:v>88.888888888888886</c:v>
                </c:pt>
                <c:pt idx="1">
                  <c:v>75</c:v>
                </c:pt>
                <c:pt idx="2">
                  <c:v>76.470588235294116</c:v>
                </c:pt>
                <c:pt idx="3">
                  <c:v>69.230769230769226</c:v>
                </c:pt>
                <c:pt idx="4">
                  <c:v>74.285714285714292</c:v>
                </c:pt>
                <c:pt idx="5">
                  <c:v>80</c:v>
                </c:pt>
                <c:pt idx="6">
                  <c:v>79.487179487179489</c:v>
                </c:pt>
                <c:pt idx="7">
                  <c:v>66.666666666666657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'Ret. y Efic. CSYH por Campus '!$B$14</c:f>
              <c:strCache>
                <c:ptCount val="1"/>
                <c:pt idx="0">
                  <c:v>% Retención al año 3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pPr>
              <a:solidFill>
                <a:schemeClr val="tx1"/>
              </a:solidFill>
            </c:spPr>
          </c:marker>
          <c:dLbls>
            <c:dLbl>
              <c:idx val="0"/>
              <c:layout>
                <c:manualLayout>
                  <c:x val="2.9098459991008609E-2"/>
                  <c:y val="-3.7640258981396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706152851362678E-2"/>
                  <c:y val="-3.1849449907335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2353842837875968E-3"/>
                  <c:y val="2.0267831759213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470768567575117E-2"/>
                  <c:y val="-2.0267831759213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2470768567575117E-2"/>
                  <c:y val="3.4744854444366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6209371980235178E-17"/>
                  <c:y val="2.6058640833274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CSYH por Campus '!$C$14:$I$14</c:f>
              <c:numCache>
                <c:formatCode>0.0</c:formatCode>
                <c:ptCount val="7"/>
                <c:pt idx="0">
                  <c:v>88.888888888888886</c:v>
                </c:pt>
                <c:pt idx="1">
                  <c:v>65</c:v>
                </c:pt>
                <c:pt idx="2">
                  <c:v>64.705882352941174</c:v>
                </c:pt>
                <c:pt idx="3">
                  <c:v>69.230769230769226</c:v>
                </c:pt>
                <c:pt idx="4">
                  <c:v>77.142857142857153</c:v>
                </c:pt>
                <c:pt idx="5">
                  <c:v>66.666666666666657</c:v>
                </c:pt>
                <c:pt idx="6">
                  <c:v>69.230769230769226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'Ret. y Efic. CSYH por Campus '!$B$15</c:f>
              <c:strCache>
                <c:ptCount val="1"/>
                <c:pt idx="0">
                  <c:v>% Eficiencia al año 4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dLbl>
              <c:idx val="4"/>
              <c:layout>
                <c:manualLayout>
                  <c:x val="-8.3138457117167448E-3"/>
                  <c:y val="2.6058640833274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CSYH por Campus '!$C$15:$H$15</c:f>
              <c:numCache>
                <c:formatCode>0.0</c:formatCode>
                <c:ptCount val="6"/>
                <c:pt idx="0">
                  <c:v>55.555555555555557</c:v>
                </c:pt>
                <c:pt idx="1">
                  <c:v>45</c:v>
                </c:pt>
                <c:pt idx="2">
                  <c:v>41.17647058823529</c:v>
                </c:pt>
                <c:pt idx="3">
                  <c:v>61.53846153846154</c:v>
                </c:pt>
                <c:pt idx="4">
                  <c:v>71.428571428571431</c:v>
                </c:pt>
                <c:pt idx="5">
                  <c:v>70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'Ret. y Efic. CSYH por Campus '!$B$16</c:f>
              <c:strCache>
                <c:ptCount val="1"/>
                <c:pt idx="0">
                  <c:v>% Eficiencia al año 5</c:v>
                </c:pt>
              </c:strCache>
            </c:strRef>
          </c:tx>
          <c:spPr>
            <a:ln>
              <a:solidFill>
                <a:srgbClr val="CC3300"/>
              </a:solidFill>
            </a:ln>
          </c:spPr>
          <c:marker>
            <c:symbol val="square"/>
            <c:size val="5"/>
            <c:spPr>
              <a:solidFill>
                <a:srgbClr val="0000CC"/>
              </a:solidFill>
            </c:spPr>
          </c:marker>
          <c:dLbls>
            <c:dLbl>
              <c:idx val="4"/>
              <c:layout>
                <c:manualLayout>
                  <c:x val="-1.2470768567575117E-2"/>
                  <c:y val="8.68621361109148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CSYH por Campus '!$C$16:$G$16</c:f>
              <c:numCache>
                <c:formatCode>0.0</c:formatCode>
                <c:ptCount val="5"/>
                <c:pt idx="0">
                  <c:v>55.555555555555557</c:v>
                </c:pt>
                <c:pt idx="1">
                  <c:v>55.000000000000007</c:v>
                </c:pt>
                <c:pt idx="2">
                  <c:v>52.941176470588239</c:v>
                </c:pt>
                <c:pt idx="3">
                  <c:v>61.53846153846154</c:v>
                </c:pt>
                <c:pt idx="4">
                  <c:v>74.285714285714292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'Ret. y Efic. CSYH por Campus '!$B$17</c:f>
              <c:strCache>
                <c:ptCount val="1"/>
                <c:pt idx="0">
                  <c:v>% Eficiencia al año 6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chemeClr val="tx1"/>
              </a:solidFill>
            </c:spPr>
          </c:marker>
          <c:dLbls>
            <c:dLbl>
              <c:idx val="0"/>
              <c:layout>
                <c:manualLayout>
                  <c:x val="-1.4549229995504313E-2"/>
                  <c:y val="-4.3431068055457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392307139645932E-2"/>
                  <c:y val="-2.8954045370305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138457117167448E-3"/>
                  <c:y val="-2.3163236296244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CSYH por Campus '!$C$17:$F$17</c:f>
              <c:numCache>
                <c:formatCode>0.0</c:formatCode>
                <c:ptCount val="4"/>
                <c:pt idx="0">
                  <c:v>88.888888888888886</c:v>
                </c:pt>
                <c:pt idx="1">
                  <c:v>60</c:v>
                </c:pt>
                <c:pt idx="2">
                  <c:v>58.82352941176471</c:v>
                </c:pt>
                <c:pt idx="3">
                  <c:v>61.53846153846154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45792"/>
        <c:axId val="83347328"/>
      </c:lineChart>
      <c:catAx>
        <c:axId val="8334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347328"/>
        <c:crosses val="autoZero"/>
        <c:auto val="1"/>
        <c:lblAlgn val="ctr"/>
        <c:lblOffset val="100"/>
        <c:noMultiLvlLbl val="0"/>
      </c:catAx>
      <c:valAx>
        <c:axId val="83347328"/>
        <c:scaling>
          <c:orientation val="minMax"/>
          <c:max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33457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Campus</a:t>
            </a:r>
            <a:r>
              <a:rPr lang="en-US" sz="2400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Tijuana</a:t>
            </a:r>
            <a:endParaRPr lang="en-US" sz="2400">
              <a:solidFill>
                <a:sysClr val="windowText" lastClr="000000"/>
              </a:solidFill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'Ret. y Efic. CSYH por Campus '!$B$12</c:f>
              <c:strCache>
                <c:ptCount val="1"/>
                <c:pt idx="0">
                  <c:v>% Retención al año 1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dLbl>
              <c:idx val="3"/>
              <c:layout>
                <c:manualLayout>
                  <c:x val="6.2353842837875968E-3"/>
                  <c:y val="-8.68621361109159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CSYH por Campus '!$C$19:$K$19</c:f>
              <c:numCache>
                <c:formatCode>0.0</c:formatCode>
                <c:ptCount val="9"/>
                <c:pt idx="0">
                  <c:v>85.964912280701753</c:v>
                </c:pt>
                <c:pt idx="1">
                  <c:v>89.795918367346943</c:v>
                </c:pt>
                <c:pt idx="2">
                  <c:v>83.78378378378379</c:v>
                </c:pt>
                <c:pt idx="3">
                  <c:v>84.210526315789465</c:v>
                </c:pt>
                <c:pt idx="4">
                  <c:v>90</c:v>
                </c:pt>
                <c:pt idx="5">
                  <c:v>82.222222222222214</c:v>
                </c:pt>
                <c:pt idx="6">
                  <c:v>80</c:v>
                </c:pt>
                <c:pt idx="7">
                  <c:v>93.548387096774192</c:v>
                </c:pt>
                <c:pt idx="8">
                  <c:v>82.142857142857139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'Ret. y Efic. CSYH por Campus '!$B$13</c:f>
              <c:strCache>
                <c:ptCount val="1"/>
                <c:pt idx="0">
                  <c:v>% Retención al año 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0000CC"/>
              </a:solidFill>
            </c:spPr>
          </c:marker>
          <c:dLbls>
            <c:dLbl>
              <c:idx val="0"/>
              <c:layout>
                <c:manualLayout>
                  <c:x val="-4.1569228558583724E-3"/>
                  <c:y val="-1.7372427222183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052342995058795E-17"/>
                  <c:y val="2.6058640833274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2353842837875586E-3"/>
                  <c:y val="-2.6058640833274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0784614279291864E-2"/>
                  <c:y val="-4.0535663518427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784614279291862E-3"/>
                  <c:y val="-1.4477022685152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78461427929194E-2"/>
                  <c:y val="-2.8954045370305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CSYH por Campus '!$C$20:$J$20</c:f>
              <c:numCache>
                <c:formatCode>0.0</c:formatCode>
                <c:ptCount val="8"/>
                <c:pt idx="0">
                  <c:v>75.438596491228068</c:v>
                </c:pt>
                <c:pt idx="1">
                  <c:v>87.755102040816325</c:v>
                </c:pt>
                <c:pt idx="2">
                  <c:v>83.78378378378379</c:v>
                </c:pt>
                <c:pt idx="3">
                  <c:v>84.210526315789465</c:v>
                </c:pt>
                <c:pt idx="4">
                  <c:v>82.5</c:v>
                </c:pt>
                <c:pt idx="5">
                  <c:v>73.333333333333329</c:v>
                </c:pt>
                <c:pt idx="6">
                  <c:v>74.285714285714292</c:v>
                </c:pt>
                <c:pt idx="7">
                  <c:v>83.870967741935488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'Ret. y Efic. CSYH por Campus '!$B$14</c:f>
              <c:strCache>
                <c:ptCount val="1"/>
                <c:pt idx="0">
                  <c:v>% Retención al año 3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pPr>
              <a:solidFill>
                <a:schemeClr val="tx1"/>
              </a:solidFill>
            </c:spPr>
          </c:marker>
          <c:dLbls>
            <c:dLbl>
              <c:idx val="0"/>
              <c:layout>
                <c:manualLayout>
                  <c:x val="2.0784614279292053E-3"/>
                  <c:y val="-2.8954045370305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098459991008626E-2"/>
                  <c:y val="2.3163236296244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0784614279291902E-2"/>
                  <c:y val="3.1849449907335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549229995504304E-2"/>
                  <c:y val="3.1849449907335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6209371980235178E-17"/>
                  <c:y val="2.6058640833274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CSYH por Campus '!$C$21:$I$21</c:f>
              <c:numCache>
                <c:formatCode>0.0</c:formatCode>
                <c:ptCount val="7"/>
                <c:pt idx="0">
                  <c:v>63.157894736842103</c:v>
                </c:pt>
                <c:pt idx="1">
                  <c:v>85.714285714285708</c:v>
                </c:pt>
                <c:pt idx="2">
                  <c:v>72.972972972972968</c:v>
                </c:pt>
                <c:pt idx="3">
                  <c:v>84.210526315789465</c:v>
                </c:pt>
                <c:pt idx="4">
                  <c:v>82.5</c:v>
                </c:pt>
                <c:pt idx="5">
                  <c:v>71.111111111111114</c:v>
                </c:pt>
                <c:pt idx="6">
                  <c:v>68.571428571428569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'Ret. y Efic. CSYH por Campus '!$B$15</c:f>
              <c:strCache>
                <c:ptCount val="1"/>
                <c:pt idx="0">
                  <c:v>% Eficiencia al año 4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CSYH por Campus '!$C$22:$H$22</c:f>
              <c:numCache>
                <c:formatCode>0.0</c:formatCode>
                <c:ptCount val="6"/>
                <c:pt idx="0">
                  <c:v>47.368421052631575</c:v>
                </c:pt>
                <c:pt idx="1">
                  <c:v>59.183673469387756</c:v>
                </c:pt>
                <c:pt idx="2">
                  <c:v>51.351351351351347</c:v>
                </c:pt>
                <c:pt idx="3">
                  <c:v>55.26315789473685</c:v>
                </c:pt>
                <c:pt idx="4">
                  <c:v>60</c:v>
                </c:pt>
                <c:pt idx="5">
                  <c:v>37.777777777777779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'Ret. y Efic. CSYH por Campus '!$B$16</c:f>
              <c:strCache>
                <c:ptCount val="1"/>
                <c:pt idx="0">
                  <c:v>% Eficiencia al año 5</c:v>
                </c:pt>
              </c:strCache>
            </c:strRef>
          </c:tx>
          <c:spPr>
            <a:ln>
              <a:solidFill>
                <a:srgbClr val="CC3300"/>
              </a:solidFill>
            </a:ln>
          </c:spPr>
          <c:marker>
            <c:symbol val="square"/>
            <c:size val="5"/>
            <c:spPr>
              <a:solidFill>
                <a:srgbClr val="0000CC"/>
              </a:solidFill>
            </c:spPr>
          </c:marker>
          <c:dLbls>
            <c:dLbl>
              <c:idx val="0"/>
              <c:layout>
                <c:manualLayout>
                  <c:x val="-1.2470768567575128E-2"/>
                  <c:y val="3.4744854444366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706152851362678E-2"/>
                  <c:y val="2.895404537030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CSYH por Campus '!$C$23:$G$23</c:f>
              <c:numCache>
                <c:formatCode>0.0</c:formatCode>
                <c:ptCount val="5"/>
                <c:pt idx="0">
                  <c:v>59.649122807017541</c:v>
                </c:pt>
                <c:pt idx="1">
                  <c:v>71.428571428571431</c:v>
                </c:pt>
                <c:pt idx="2">
                  <c:v>62.162162162162161</c:v>
                </c:pt>
                <c:pt idx="3">
                  <c:v>65.789473684210535</c:v>
                </c:pt>
                <c:pt idx="4">
                  <c:v>70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'Ret. y Efic. CSYH por Campus '!$B$17</c:f>
              <c:strCache>
                <c:ptCount val="1"/>
                <c:pt idx="0">
                  <c:v>% Eficiencia al año 6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chemeClr val="tx1"/>
              </a:solidFill>
            </c:spPr>
          </c:marker>
          <c:dLbls>
            <c:dLbl>
              <c:idx val="0"/>
              <c:layout>
                <c:manualLayout>
                  <c:x val="6.2353842837875586E-3"/>
                  <c:y val="1.447702268515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706152851362678E-2"/>
                  <c:y val="-2.3163236296244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138457117167448E-3"/>
                  <c:y val="-2.3163236296244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CSYH por Campus '!$C$24:$E$24</c:f>
              <c:numCache>
                <c:formatCode>0.0</c:formatCode>
                <c:ptCount val="3"/>
                <c:pt idx="0">
                  <c:v>61.403508771929829</c:v>
                </c:pt>
                <c:pt idx="1">
                  <c:v>73.469387755102048</c:v>
                </c:pt>
                <c:pt idx="2">
                  <c:v>64.86486486486487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64864"/>
        <c:axId val="82966400"/>
      </c:lineChart>
      <c:catAx>
        <c:axId val="8296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2966400"/>
        <c:crosses val="autoZero"/>
        <c:auto val="1"/>
        <c:lblAlgn val="ctr"/>
        <c:lblOffset val="100"/>
        <c:noMultiLvlLbl val="0"/>
      </c:catAx>
      <c:valAx>
        <c:axId val="8296640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29648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>
                <a:solidFill>
                  <a:srgbClr val="3366FF"/>
                </a:solidFill>
                <a:latin typeface="Arial Narrow" panose="020B0606020202030204" pitchFamily="34" charset="0"/>
              </a:rPr>
              <a:t>Campus</a:t>
            </a:r>
            <a:r>
              <a:rPr lang="en-US" sz="2400" baseline="0">
                <a:solidFill>
                  <a:srgbClr val="3366FF"/>
                </a:solidFill>
                <a:latin typeface="Arial Narrow" panose="020B0606020202030204" pitchFamily="34" charset="0"/>
              </a:rPr>
              <a:t> Mexicali</a:t>
            </a:r>
            <a:endParaRPr lang="en-US" sz="2400">
              <a:solidFill>
                <a:srgbClr val="3366FF"/>
              </a:solidFill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'Ret. y Efic. ING por Campus'!$B$18</c:f>
              <c:strCache>
                <c:ptCount val="1"/>
                <c:pt idx="0">
                  <c:v>% Retención al año 1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dLbl>
              <c:idx val="0"/>
              <c:layout>
                <c:manualLayout>
                  <c:x val="-1.2470768567575128E-2"/>
                  <c:y val="-3.7640258981396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4941537135150273E-2"/>
                  <c:y val="-3.4744854444366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ING por Campus'!$C$18:$K$18</c:f>
              <c:numCache>
                <c:formatCode>0.0</c:formatCode>
                <c:ptCount val="9"/>
                <c:pt idx="0">
                  <c:v>82.258064516129039</c:v>
                </c:pt>
                <c:pt idx="1">
                  <c:v>85.555555555555557</c:v>
                </c:pt>
                <c:pt idx="2">
                  <c:v>77.528089887640448</c:v>
                </c:pt>
                <c:pt idx="3">
                  <c:v>84.821428571428569</c:v>
                </c:pt>
                <c:pt idx="4">
                  <c:v>83.720930232558146</c:v>
                </c:pt>
                <c:pt idx="5">
                  <c:v>81.884057971014485</c:v>
                </c:pt>
                <c:pt idx="6">
                  <c:v>83.2</c:v>
                </c:pt>
                <c:pt idx="7">
                  <c:v>86.290322580645167</c:v>
                </c:pt>
                <c:pt idx="8">
                  <c:v>89.344262295081961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'Ret. y Efic. ING por Campus'!$B$19</c:f>
              <c:strCache>
                <c:ptCount val="1"/>
                <c:pt idx="0">
                  <c:v>% Retención al año 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0000CC"/>
              </a:solidFill>
            </c:spPr>
          </c:marker>
          <c:dLbls>
            <c:dLbl>
              <c:idx val="0"/>
              <c:layout>
                <c:manualLayout>
                  <c:x val="4.1569228558583724E-3"/>
                  <c:y val="-8.6862136110915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4614279291862E-3"/>
                  <c:y val="-2.8954045370305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6209371980235178E-17"/>
                  <c:y val="-1.4477022685152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784614279291862E-3"/>
                  <c:y val="-1.4477022685152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78461427929194E-2"/>
                  <c:y val="-2.8954045370305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ING por Campus'!$C$19:$J$19</c:f>
              <c:numCache>
                <c:formatCode>0.0</c:formatCode>
                <c:ptCount val="8"/>
                <c:pt idx="0">
                  <c:v>80.645161290322577</c:v>
                </c:pt>
                <c:pt idx="1">
                  <c:v>81.111111111111114</c:v>
                </c:pt>
                <c:pt idx="2">
                  <c:v>75.280898876404493</c:v>
                </c:pt>
                <c:pt idx="3">
                  <c:v>79.464285714285708</c:v>
                </c:pt>
                <c:pt idx="4">
                  <c:v>78.294573643410843</c:v>
                </c:pt>
                <c:pt idx="5">
                  <c:v>71.014492753623188</c:v>
                </c:pt>
                <c:pt idx="6">
                  <c:v>75.2</c:v>
                </c:pt>
                <c:pt idx="7">
                  <c:v>82.258064516129039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'Ret. y Efic. ING por Campus'!$B$20</c:f>
              <c:strCache>
                <c:ptCount val="1"/>
                <c:pt idx="0">
                  <c:v>% Retención al año 3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pPr>
              <a:solidFill>
                <a:schemeClr val="tx1"/>
              </a:solidFill>
            </c:spPr>
          </c:marker>
          <c:dLbls>
            <c:dLbl>
              <c:idx val="0"/>
              <c:layout>
                <c:manualLayout>
                  <c:x val="-1.0392307139645932E-2"/>
                  <c:y val="1.1581618148122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662769142343349E-2"/>
                  <c:y val="-8.6862136110915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470768567575155E-2"/>
                  <c:y val="2.6058640833274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8706152851362717E-2"/>
                  <c:y val="-2.3163236296244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6209371980235178E-17"/>
                  <c:y val="2.6058640833274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ING por Campus'!$C$20:$I$20</c:f>
              <c:numCache>
                <c:formatCode>0.0</c:formatCode>
                <c:ptCount val="7"/>
                <c:pt idx="0">
                  <c:v>77.41935483870968</c:v>
                </c:pt>
                <c:pt idx="1">
                  <c:v>76.666666666666671</c:v>
                </c:pt>
                <c:pt idx="2">
                  <c:v>70.786516853932582</c:v>
                </c:pt>
                <c:pt idx="3">
                  <c:v>72.321428571428569</c:v>
                </c:pt>
                <c:pt idx="4">
                  <c:v>75.968992248062023</c:v>
                </c:pt>
                <c:pt idx="5">
                  <c:v>63.04347826086957</c:v>
                </c:pt>
                <c:pt idx="6">
                  <c:v>71.2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'Ret. y Efic. ING por Campus'!$B$21</c:f>
              <c:strCache>
                <c:ptCount val="1"/>
                <c:pt idx="0">
                  <c:v>% Eficiencia al año 4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dLbl>
              <c:idx val="0"/>
              <c:layout>
                <c:manualLayout>
                  <c:x val="-4.1569228558583724E-3"/>
                  <c:y val="3.4744854444366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ING por Campus'!$C$21:$H$21</c:f>
              <c:numCache>
                <c:formatCode>0.0</c:formatCode>
                <c:ptCount val="6"/>
                <c:pt idx="0">
                  <c:v>64.516129032258064</c:v>
                </c:pt>
                <c:pt idx="1">
                  <c:v>62.222222222222221</c:v>
                </c:pt>
                <c:pt idx="2">
                  <c:v>49.438202247191008</c:v>
                </c:pt>
                <c:pt idx="3">
                  <c:v>58.035714285714292</c:v>
                </c:pt>
                <c:pt idx="4">
                  <c:v>61.240310077519375</c:v>
                </c:pt>
                <c:pt idx="5">
                  <c:v>42.028985507246375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'Ret. y Efic. ING por Campus'!$B$22</c:f>
              <c:strCache>
                <c:ptCount val="1"/>
                <c:pt idx="0">
                  <c:v>% Eficiencia al año 5</c:v>
                </c:pt>
              </c:strCache>
            </c:strRef>
          </c:tx>
          <c:spPr>
            <a:ln>
              <a:solidFill>
                <a:srgbClr val="CC3300"/>
              </a:solidFill>
            </a:ln>
          </c:spPr>
          <c:marker>
            <c:symbol val="square"/>
            <c:size val="5"/>
            <c:spPr>
              <a:solidFill>
                <a:srgbClr val="0000CC"/>
              </a:solidFill>
            </c:spPr>
          </c:marker>
          <c:dLbls>
            <c:dLbl>
              <c:idx val="1"/>
              <c:layout>
                <c:manualLayout>
                  <c:x val="-2.9098459991008626E-2"/>
                  <c:y val="3.4744854444366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392307139645932E-2"/>
                  <c:y val="2.6058640833274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ING por Campus'!$C$22:$G$22</c:f>
              <c:numCache>
                <c:formatCode>0.0</c:formatCode>
                <c:ptCount val="5"/>
                <c:pt idx="0">
                  <c:v>66.129032258064512</c:v>
                </c:pt>
                <c:pt idx="1">
                  <c:v>73.333333333333329</c:v>
                </c:pt>
                <c:pt idx="2">
                  <c:v>61.797752808988761</c:v>
                </c:pt>
                <c:pt idx="3">
                  <c:v>67.857142857142861</c:v>
                </c:pt>
                <c:pt idx="4">
                  <c:v>68.992248062015506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'Ret. y Efic. ING por Campus'!$B$23</c:f>
              <c:strCache>
                <c:ptCount val="1"/>
                <c:pt idx="0">
                  <c:v>% Eficiencia al año 6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chemeClr val="tx1"/>
              </a:solidFill>
            </c:spPr>
          </c:marker>
          <c:dLbls>
            <c:dLbl>
              <c:idx val="0"/>
              <c:layout>
                <c:manualLayout>
                  <c:x val="-1.4549229995504313E-2"/>
                  <c:y val="-2.6058640833274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6118458554088028E-2"/>
                  <c:y val="-2.8954045370305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13845711716783E-3"/>
                  <c:y val="-2.8954045370305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2353842837875586E-3"/>
                  <c:y val="-5.79080907406108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ING por Campus'!$C$23:$F$23</c:f>
              <c:numCache>
                <c:formatCode>0.0</c:formatCode>
                <c:ptCount val="4"/>
                <c:pt idx="0">
                  <c:v>67.741935483870961</c:v>
                </c:pt>
                <c:pt idx="1">
                  <c:v>74.444444444444443</c:v>
                </c:pt>
                <c:pt idx="2">
                  <c:v>69.662921348314612</c:v>
                </c:pt>
                <c:pt idx="3">
                  <c:v>69.642857142857139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370752"/>
        <c:axId val="83372288"/>
      </c:lineChart>
      <c:catAx>
        <c:axId val="8337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372288"/>
        <c:crosses val="autoZero"/>
        <c:auto val="1"/>
        <c:lblAlgn val="ctr"/>
        <c:lblOffset val="100"/>
        <c:noMultiLvlLbl val="0"/>
      </c:catAx>
      <c:valAx>
        <c:axId val="83372288"/>
        <c:scaling>
          <c:orientation val="minMax"/>
          <c:max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337075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>
                <a:solidFill>
                  <a:srgbClr val="0066FF"/>
                </a:solidFill>
                <a:latin typeface="Arial Narrow" panose="020B0606020202030204" pitchFamily="34" charset="0"/>
              </a:rPr>
              <a:t>Sistema</a:t>
            </a:r>
            <a:r>
              <a:rPr lang="en-US" sz="2400" baseline="0">
                <a:solidFill>
                  <a:srgbClr val="0066FF"/>
                </a:solidFill>
                <a:latin typeface="Arial Narrow" panose="020B0606020202030204" pitchFamily="34" charset="0"/>
              </a:rPr>
              <a:t> CETYS: Licenciatura (NI)</a:t>
            </a:r>
            <a:endParaRPr lang="en-US" sz="2400">
              <a:solidFill>
                <a:srgbClr val="0066FF"/>
              </a:solidFill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'Ret. y Efic. Term. Sist. CETYS'!$B$8</c:f>
              <c:strCache>
                <c:ptCount val="1"/>
                <c:pt idx="0">
                  <c:v>Población Inicial (NI)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28575" cap="flat" cmpd="sng" algn="ctr">
                <a:solidFill>
                  <a:schemeClr val="dk1"/>
                </a:solidFill>
                <a:prstDash val="dash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rendlineType val="linear"/>
            <c:dispRSqr val="0"/>
            <c:dispEq val="0"/>
          </c:trendline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Term. Sist. CETYS'!$C$8:$K$8</c:f>
              <c:numCache>
                <c:formatCode>General</c:formatCode>
                <c:ptCount val="9"/>
                <c:pt idx="0">
                  <c:v>444</c:v>
                </c:pt>
                <c:pt idx="1">
                  <c:v>521</c:v>
                </c:pt>
                <c:pt idx="2">
                  <c:v>504</c:v>
                </c:pt>
                <c:pt idx="3">
                  <c:v>488</c:v>
                </c:pt>
                <c:pt idx="4">
                  <c:v>565</c:v>
                </c:pt>
                <c:pt idx="5">
                  <c:v>523</c:v>
                </c:pt>
                <c:pt idx="6">
                  <c:v>600</c:v>
                </c:pt>
                <c:pt idx="7">
                  <c:v>559</c:v>
                </c:pt>
                <c:pt idx="8">
                  <c:v>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240832"/>
        <c:axId val="63119744"/>
      </c:lineChart>
      <c:catAx>
        <c:axId val="6324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119744"/>
        <c:crosses val="autoZero"/>
        <c:auto val="1"/>
        <c:lblAlgn val="ctr"/>
        <c:lblOffset val="100"/>
        <c:noMultiLvlLbl val="0"/>
      </c:catAx>
      <c:valAx>
        <c:axId val="63119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240832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>
                <a:solidFill>
                  <a:srgbClr val="FF0000"/>
                </a:solidFill>
                <a:latin typeface="Arial Narrow" panose="020B0606020202030204" pitchFamily="34" charset="0"/>
              </a:rPr>
              <a:t>Campus</a:t>
            </a:r>
            <a:r>
              <a:rPr lang="en-US" sz="2400" baseline="0">
                <a:solidFill>
                  <a:srgbClr val="FF0000"/>
                </a:solidFill>
                <a:latin typeface="Arial Narrow" panose="020B0606020202030204" pitchFamily="34" charset="0"/>
              </a:rPr>
              <a:t> Ensenada</a:t>
            </a:r>
            <a:endParaRPr lang="en-US" sz="2400">
              <a:solidFill>
                <a:srgbClr val="FF0000"/>
              </a:solidFill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'Ret. y Efic. ING por Campus'!$B$11</c:f>
              <c:strCache>
                <c:ptCount val="1"/>
                <c:pt idx="0">
                  <c:v>% Retención al año 1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ING por Campus'!$C$11:$K$11</c:f>
              <c:numCache>
                <c:formatCode>0.0</c:formatCode>
                <c:ptCount val="9"/>
                <c:pt idx="0" formatCode="General">
                  <c:v>100</c:v>
                </c:pt>
                <c:pt idx="1">
                  <c:v>85.714285714285708</c:v>
                </c:pt>
                <c:pt idx="2">
                  <c:v>85.714285714285708</c:v>
                </c:pt>
                <c:pt idx="3">
                  <c:v>85.714285714285708</c:v>
                </c:pt>
                <c:pt idx="4" formatCode="General">
                  <c:v>87.5</c:v>
                </c:pt>
                <c:pt idx="5">
                  <c:v>88.235294117647058</c:v>
                </c:pt>
                <c:pt idx="6">
                  <c:v>83.333333333333343</c:v>
                </c:pt>
                <c:pt idx="7">
                  <c:v>65.384615384615387</c:v>
                </c:pt>
                <c:pt idx="8">
                  <c:v>69.696969696969703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'Ret. y Efic. ING por Campus'!$B$12</c:f>
              <c:strCache>
                <c:ptCount val="1"/>
                <c:pt idx="0">
                  <c:v>% Retención al año 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0000CC"/>
              </a:solidFill>
            </c:spPr>
          </c:marker>
          <c:dLbls>
            <c:dLbl>
              <c:idx val="3"/>
              <c:layout>
                <c:manualLayout>
                  <c:x val="-7.6209371980235178E-17"/>
                  <c:y val="-1.4477022685152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784614279291862E-3"/>
                  <c:y val="-1.4477022685152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78461427929194E-2"/>
                  <c:y val="-2.8954045370305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ING por Campus'!$C$12:$J$12</c:f>
              <c:numCache>
                <c:formatCode>0.0</c:formatCode>
                <c:ptCount val="8"/>
                <c:pt idx="0">
                  <c:v>92.307692307692307</c:v>
                </c:pt>
                <c:pt idx="1">
                  <c:v>85.714285714285708</c:v>
                </c:pt>
                <c:pt idx="2">
                  <c:v>71.428571428571431</c:v>
                </c:pt>
                <c:pt idx="3">
                  <c:v>61.904761904761905</c:v>
                </c:pt>
                <c:pt idx="4" formatCode="General">
                  <c:v>75</c:v>
                </c:pt>
                <c:pt idx="5">
                  <c:v>79.411764705882348</c:v>
                </c:pt>
                <c:pt idx="6" formatCode="General">
                  <c:v>80</c:v>
                </c:pt>
                <c:pt idx="7">
                  <c:v>65.384615384615387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'Ret. y Efic. ING por Campus'!$B$13</c:f>
              <c:strCache>
                <c:ptCount val="1"/>
                <c:pt idx="0">
                  <c:v>% Retención al año 3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pPr>
              <a:solidFill>
                <a:schemeClr val="tx1"/>
              </a:solidFill>
            </c:spPr>
          </c:marker>
          <c:dLbls>
            <c:dLbl>
              <c:idx val="3"/>
              <c:layout>
                <c:manualLayout>
                  <c:x val="-6.2353842837875968E-3"/>
                  <c:y val="2.0267831759213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2353842837875586E-3"/>
                  <c:y val="-3.1849449907335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6209371980235178E-17"/>
                  <c:y val="2.6058640833274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ING por Campus'!$C$13:$I$13</c:f>
              <c:numCache>
                <c:formatCode>0.0</c:formatCode>
                <c:ptCount val="7"/>
                <c:pt idx="0">
                  <c:v>84.615384615384613</c:v>
                </c:pt>
                <c:pt idx="1">
                  <c:v>78.571428571428569</c:v>
                </c:pt>
                <c:pt idx="2">
                  <c:v>64.285714285714292</c:v>
                </c:pt>
                <c:pt idx="3">
                  <c:v>47.619047619047613</c:v>
                </c:pt>
                <c:pt idx="4" formatCode="General">
                  <c:v>62.5</c:v>
                </c:pt>
                <c:pt idx="5">
                  <c:v>61.764705882352942</c:v>
                </c:pt>
                <c:pt idx="6" formatCode="General">
                  <c:v>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'Ret. y Efic. ING por Campus'!$B$14</c:f>
              <c:strCache>
                <c:ptCount val="1"/>
                <c:pt idx="0">
                  <c:v>% Eficiencia al año 4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ING por Campus'!$C$14:$H$14</c:f>
              <c:numCache>
                <c:formatCode>0.0</c:formatCode>
                <c:ptCount val="6"/>
                <c:pt idx="0">
                  <c:v>46.153846153846153</c:v>
                </c:pt>
                <c:pt idx="1">
                  <c:v>42.857142857142854</c:v>
                </c:pt>
                <c:pt idx="2">
                  <c:v>28.571428571428569</c:v>
                </c:pt>
                <c:pt idx="3">
                  <c:v>23.809523809523807</c:v>
                </c:pt>
                <c:pt idx="4" formatCode="General">
                  <c:v>56.25</c:v>
                </c:pt>
                <c:pt idx="5">
                  <c:v>44.117647058823529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'Ret. y Efic. ING por Campus'!$B$15</c:f>
              <c:strCache>
                <c:ptCount val="1"/>
                <c:pt idx="0">
                  <c:v>% Eficiencia al año 5</c:v>
                </c:pt>
              </c:strCache>
            </c:strRef>
          </c:tx>
          <c:spPr>
            <a:ln>
              <a:solidFill>
                <a:srgbClr val="CC3300"/>
              </a:solidFill>
            </a:ln>
          </c:spPr>
          <c:marker>
            <c:symbol val="square"/>
            <c:size val="5"/>
            <c:spPr>
              <a:solidFill>
                <a:srgbClr val="0000CC"/>
              </a:solidFill>
            </c:spPr>
          </c:marker>
          <c:dLbls>
            <c:dLbl>
              <c:idx val="4"/>
              <c:layout>
                <c:manualLayout>
                  <c:x val="-1.2470768567575117E-2"/>
                  <c:y val="-4.3431068055457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ING por Campus'!$C$15:$G$15</c:f>
              <c:numCache>
                <c:formatCode>0.0</c:formatCode>
                <c:ptCount val="5"/>
                <c:pt idx="0">
                  <c:v>53.846153846153847</c:v>
                </c:pt>
                <c:pt idx="1">
                  <c:v>71.428571428571431</c:v>
                </c:pt>
                <c:pt idx="2">
                  <c:v>35.714285714285715</c:v>
                </c:pt>
                <c:pt idx="3">
                  <c:v>23.809523809523807</c:v>
                </c:pt>
                <c:pt idx="4" formatCode="General">
                  <c:v>62.5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'Ret. y Efic. ING por Campus'!$B$16</c:f>
              <c:strCache>
                <c:ptCount val="1"/>
                <c:pt idx="0">
                  <c:v>% Eficiencia al año 6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chemeClr val="tx1"/>
              </a:solidFill>
            </c:spPr>
          </c:marker>
          <c:dLbls>
            <c:dLbl>
              <c:idx val="0"/>
              <c:layout>
                <c:manualLayout>
                  <c:x val="-1.2470768567575128E-2"/>
                  <c:y val="-2.6058640833274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176921418937794E-2"/>
                  <c:y val="-2.0267831759213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ING por Campus'!$C$16:$F$16</c:f>
              <c:numCache>
                <c:formatCode>0.0</c:formatCode>
                <c:ptCount val="4"/>
                <c:pt idx="0">
                  <c:v>61.53846153846154</c:v>
                </c:pt>
                <c:pt idx="1">
                  <c:v>71.428571428571431</c:v>
                </c:pt>
                <c:pt idx="2">
                  <c:v>42.857142857142854</c:v>
                </c:pt>
                <c:pt idx="3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72160"/>
        <c:axId val="83773696"/>
      </c:lineChart>
      <c:catAx>
        <c:axId val="8377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773696"/>
        <c:crosses val="autoZero"/>
        <c:auto val="1"/>
        <c:lblAlgn val="ctr"/>
        <c:lblOffset val="100"/>
        <c:noMultiLvlLbl val="0"/>
      </c:catAx>
      <c:valAx>
        <c:axId val="83773696"/>
        <c:scaling>
          <c:orientation val="minMax"/>
          <c:max val="1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37721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>
                <a:solidFill>
                  <a:schemeClr val="tx1"/>
                </a:solidFill>
              </a:defRPr>
            </a:pPr>
            <a:r>
              <a:rPr lang="en-US" sz="2400">
                <a:solidFill>
                  <a:schemeClr val="tx1"/>
                </a:solidFill>
                <a:latin typeface="Arial Narrow" panose="020B0606020202030204" pitchFamily="34" charset="0"/>
              </a:rPr>
              <a:t>Campus</a:t>
            </a:r>
            <a:r>
              <a:rPr lang="en-US" sz="2400" baseline="0">
                <a:solidFill>
                  <a:schemeClr val="tx1"/>
                </a:solidFill>
                <a:latin typeface="Arial Narrow" panose="020B0606020202030204" pitchFamily="34" charset="0"/>
              </a:rPr>
              <a:t> Tijuana</a:t>
            </a:r>
            <a:endParaRPr lang="en-US" sz="2400">
              <a:solidFill>
                <a:schemeClr val="tx1"/>
              </a:solidFill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'Ret. y Efic. ING por Campus'!$B$11</c:f>
              <c:strCache>
                <c:ptCount val="1"/>
                <c:pt idx="0">
                  <c:v>% Retención al año 1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dLbl>
              <c:idx val="0"/>
              <c:layout>
                <c:manualLayout>
                  <c:x val="-6.2353842837875586E-3"/>
                  <c:y val="-2.6058640833274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549229995504304E-2"/>
                  <c:y val="-3.1849449907335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ING por Campus'!$C$25:$K$25</c:f>
              <c:numCache>
                <c:formatCode>0.0</c:formatCode>
                <c:ptCount val="9"/>
                <c:pt idx="0">
                  <c:v>75</c:v>
                </c:pt>
                <c:pt idx="1">
                  <c:v>93.506493506493499</c:v>
                </c:pt>
                <c:pt idx="2">
                  <c:v>81.451612903225808</c:v>
                </c:pt>
                <c:pt idx="3">
                  <c:v>83.471074380165291</c:v>
                </c:pt>
                <c:pt idx="4">
                  <c:v>83.673469387755105</c:v>
                </c:pt>
                <c:pt idx="5">
                  <c:v>85.263157894736835</c:v>
                </c:pt>
                <c:pt idx="6">
                  <c:v>81.746031746031747</c:v>
                </c:pt>
                <c:pt idx="7">
                  <c:v>88.148148148148152</c:v>
                </c:pt>
                <c:pt idx="8">
                  <c:v>86.986301369863014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'Ret. y Efic. ING por Campus'!$B$12</c:f>
              <c:strCache>
                <c:ptCount val="1"/>
                <c:pt idx="0">
                  <c:v>% Retención al año 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0000CC"/>
              </a:solidFill>
            </c:spPr>
          </c:marker>
          <c:dLbls>
            <c:dLbl>
              <c:idx val="0"/>
              <c:layout>
                <c:manualLayout>
                  <c:x val="-4.1569228558583724E-3"/>
                  <c:y val="-1.4477022685152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706152851362678E-2"/>
                  <c:y val="-2.89540453703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2353842837875968E-3"/>
                  <c:y val="-2.0267831759213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8706152851362717E-2"/>
                  <c:y val="-2.6058640833274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784614279291862E-3"/>
                  <c:y val="-1.4477022685152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78461427929194E-2"/>
                  <c:y val="-2.89540453703051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ING por Campus'!$C$26:$J$26</c:f>
              <c:numCache>
                <c:formatCode>0.0</c:formatCode>
                <c:ptCount val="8"/>
                <c:pt idx="0">
                  <c:v>72.058823529411768</c:v>
                </c:pt>
                <c:pt idx="1">
                  <c:v>83.116883116883116</c:v>
                </c:pt>
                <c:pt idx="2">
                  <c:v>74.193548387096769</c:v>
                </c:pt>
                <c:pt idx="3">
                  <c:v>74.380165289256198</c:v>
                </c:pt>
                <c:pt idx="4">
                  <c:v>78.911564625850332</c:v>
                </c:pt>
                <c:pt idx="5">
                  <c:v>82.10526315789474</c:v>
                </c:pt>
                <c:pt idx="6">
                  <c:v>72.222222222222214</c:v>
                </c:pt>
                <c:pt idx="7">
                  <c:v>72.592592592592595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'Ret. y Efic. ING por Campus'!$B$13</c:f>
              <c:strCache>
                <c:ptCount val="1"/>
                <c:pt idx="0">
                  <c:v>% Retención al año 3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pPr>
              <a:solidFill>
                <a:schemeClr val="tx1"/>
              </a:solidFill>
            </c:spPr>
          </c:marker>
          <c:dLbls>
            <c:dLbl>
              <c:idx val="2"/>
              <c:layout>
                <c:manualLayout>
                  <c:x val="-8.313845711716783E-3"/>
                  <c:y val="1.737242722218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2353842837875968E-3"/>
                  <c:y val="2.02678317592135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5.79080907406102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2470768567575041E-2"/>
                  <c:y val="1.737242722218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6209371980235178E-17"/>
                  <c:y val="2.6058640833274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ING por Campus'!$C$27:$I$27</c:f>
              <c:numCache>
                <c:formatCode>0.0</c:formatCode>
                <c:ptCount val="7"/>
                <c:pt idx="0">
                  <c:v>69.117647058823522</c:v>
                </c:pt>
                <c:pt idx="1">
                  <c:v>80.519480519480524</c:v>
                </c:pt>
                <c:pt idx="2">
                  <c:v>70.967741935483872</c:v>
                </c:pt>
                <c:pt idx="3">
                  <c:v>71.074380165289256</c:v>
                </c:pt>
                <c:pt idx="4">
                  <c:v>76.870748299319729</c:v>
                </c:pt>
                <c:pt idx="5">
                  <c:v>82.10526315789474</c:v>
                </c:pt>
                <c:pt idx="6">
                  <c:v>64.285714285714292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'Ret. y Efic. ING por Campus'!$B$14</c:f>
              <c:strCache>
                <c:ptCount val="1"/>
                <c:pt idx="0">
                  <c:v>% Eficiencia al año 4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ING por Campus'!$C$28:$H$28</c:f>
              <c:numCache>
                <c:formatCode>0.0</c:formatCode>
                <c:ptCount val="6"/>
                <c:pt idx="0">
                  <c:v>52.941176470588239</c:v>
                </c:pt>
                <c:pt idx="1">
                  <c:v>67.532467532467535</c:v>
                </c:pt>
                <c:pt idx="2">
                  <c:v>54.032258064516128</c:v>
                </c:pt>
                <c:pt idx="3">
                  <c:v>52.066115702479344</c:v>
                </c:pt>
                <c:pt idx="4">
                  <c:v>57.823129251700678</c:v>
                </c:pt>
                <c:pt idx="5">
                  <c:v>64.21052631578948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'Ret. y Efic. ING por Campus'!$B$15</c:f>
              <c:strCache>
                <c:ptCount val="1"/>
                <c:pt idx="0">
                  <c:v>% Eficiencia al año 5</c:v>
                </c:pt>
              </c:strCache>
            </c:strRef>
          </c:tx>
          <c:spPr>
            <a:ln>
              <a:solidFill>
                <a:srgbClr val="CC3300"/>
              </a:solidFill>
            </a:ln>
          </c:spPr>
          <c:marker>
            <c:symbol val="square"/>
            <c:size val="5"/>
            <c:spPr>
              <a:solidFill>
                <a:srgbClr val="0000CC"/>
              </a:solidFill>
            </c:spPr>
          </c:marker>
          <c:dLbls>
            <c:dLbl>
              <c:idx val="0"/>
              <c:layout>
                <c:manualLayout>
                  <c:x val="-1.4549229995504304E-2"/>
                  <c:y val="2.60586408332745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392307139645932E-2"/>
                  <c:y val="-1.7372427222183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ING por Campus'!$C$29:$G$29</c:f>
              <c:numCache>
                <c:formatCode>0.0</c:formatCode>
                <c:ptCount val="5"/>
                <c:pt idx="0">
                  <c:v>63.235294117647058</c:v>
                </c:pt>
                <c:pt idx="1">
                  <c:v>72.727272727272734</c:v>
                </c:pt>
                <c:pt idx="2">
                  <c:v>58.870967741935488</c:v>
                </c:pt>
                <c:pt idx="3">
                  <c:v>58.677685950413228</c:v>
                </c:pt>
                <c:pt idx="4">
                  <c:v>67.346938775510196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'Ret. y Efic. ING por Campus'!$B$16</c:f>
              <c:strCache>
                <c:ptCount val="1"/>
                <c:pt idx="0">
                  <c:v>% Eficiencia al año 6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chemeClr val="tx1"/>
              </a:solidFill>
            </c:spPr>
          </c:marker>
          <c:dLbls>
            <c:dLbl>
              <c:idx val="0"/>
              <c:layout>
                <c:manualLayout>
                  <c:x val="-4.1569228558583724E-3"/>
                  <c:y val="-5.308180330670464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176921418937794E-2"/>
                  <c:y val="-2.0267831759213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255382846866979E-2"/>
                  <c:y val="-3.4744854444366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ING por Campus'!$C$30:$F$30</c:f>
              <c:numCache>
                <c:formatCode>0.0</c:formatCode>
                <c:ptCount val="4"/>
                <c:pt idx="0">
                  <c:v>64.705882352941174</c:v>
                </c:pt>
                <c:pt idx="1">
                  <c:v>74.025974025974023</c:v>
                </c:pt>
                <c:pt idx="2">
                  <c:v>63.70967741935484</c:v>
                </c:pt>
                <c:pt idx="3">
                  <c:v>61.157024793388423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862656"/>
        <c:axId val="83864192"/>
      </c:lineChart>
      <c:catAx>
        <c:axId val="8386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3864192"/>
        <c:crosses val="autoZero"/>
        <c:auto val="1"/>
        <c:lblAlgn val="ctr"/>
        <c:lblOffset val="100"/>
        <c:noMultiLvlLbl val="0"/>
      </c:catAx>
      <c:valAx>
        <c:axId val="83864192"/>
        <c:scaling>
          <c:orientation val="minMax"/>
          <c:max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838626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>
                <a:solidFill>
                  <a:srgbClr val="0066FF"/>
                </a:solidFill>
                <a:latin typeface="Arial Narrow" panose="020B0606020202030204" pitchFamily="34" charset="0"/>
              </a:rPr>
              <a:t>Sistema</a:t>
            </a:r>
            <a:r>
              <a:rPr lang="en-US" sz="2400" baseline="0">
                <a:solidFill>
                  <a:srgbClr val="0066FF"/>
                </a:solidFill>
                <a:latin typeface="Arial Narrow" panose="020B0606020202030204" pitchFamily="34" charset="0"/>
              </a:rPr>
              <a:t> CETYS: NI de Licenciatura</a:t>
            </a:r>
            <a:endParaRPr lang="en-US" sz="2400">
              <a:solidFill>
                <a:srgbClr val="0066FF"/>
              </a:solidFill>
              <a:latin typeface="Arial Narrow" panose="020B0606020202030204" pitchFamily="34" charset="0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'Dist. de Género Sistema CETYS'!$B$8</c:f>
              <c:strCache>
                <c:ptCount val="1"/>
                <c:pt idx="0">
                  <c:v>Población Inicial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28575">
                <a:prstDash val="dash"/>
              </a:ln>
            </c:spPr>
            <c:trendlineType val="linear"/>
            <c:dispRSqr val="0"/>
            <c:dispEq val="0"/>
          </c:trendline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'Dist. de Género Sistema CETYS'!$C$8:$K$8</c:f>
              <c:numCache>
                <c:formatCode>General</c:formatCode>
                <c:ptCount val="9"/>
                <c:pt idx="0">
                  <c:v>444</c:v>
                </c:pt>
                <c:pt idx="1">
                  <c:v>521</c:v>
                </c:pt>
                <c:pt idx="2">
                  <c:v>504</c:v>
                </c:pt>
                <c:pt idx="3">
                  <c:v>488</c:v>
                </c:pt>
                <c:pt idx="4">
                  <c:v>565</c:v>
                </c:pt>
                <c:pt idx="5">
                  <c:v>523</c:v>
                </c:pt>
                <c:pt idx="6">
                  <c:v>600</c:v>
                </c:pt>
                <c:pt idx="7">
                  <c:v>559</c:v>
                </c:pt>
                <c:pt idx="8">
                  <c:v>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11872"/>
        <c:axId val="63721856"/>
      </c:lineChart>
      <c:catAx>
        <c:axId val="6371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721856"/>
        <c:crosses val="autoZero"/>
        <c:auto val="1"/>
        <c:lblAlgn val="ctr"/>
        <c:lblOffset val="100"/>
        <c:noMultiLvlLbl val="0"/>
      </c:catAx>
      <c:valAx>
        <c:axId val="63721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711872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>
                <a:solidFill>
                  <a:srgbClr val="0066FF"/>
                </a:solidFill>
                <a:latin typeface="Arial Narrow" panose="020B0606020202030204" pitchFamily="34" charset="0"/>
              </a:rPr>
              <a:t>Distribución</a:t>
            </a:r>
            <a:r>
              <a:rPr lang="en-US" sz="2400" baseline="0">
                <a:solidFill>
                  <a:srgbClr val="0066FF"/>
                </a:solidFill>
                <a:latin typeface="Arial Narrow" panose="020B0606020202030204" pitchFamily="34" charset="0"/>
              </a:rPr>
              <a:t> de Género a nivel Sistema:  NI Licenciatura</a:t>
            </a:r>
            <a:endParaRPr lang="en-US" sz="2400">
              <a:solidFill>
                <a:srgbClr val="0066FF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596168582375479"/>
          <c:y val="2.1092286225882963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'Dist. de Género Sistema CETYS'!$B$9</c:f>
              <c:strCache>
                <c:ptCount val="1"/>
                <c:pt idx="0">
                  <c:v>% de hombres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'Dist. de Género Sistema CETYS'!$C$9:$K$9</c:f>
              <c:numCache>
                <c:formatCode>0.0</c:formatCode>
                <c:ptCount val="9"/>
                <c:pt idx="0">
                  <c:v>46.621621621621621</c:v>
                </c:pt>
                <c:pt idx="1">
                  <c:v>51.439539347408825</c:v>
                </c:pt>
                <c:pt idx="2">
                  <c:v>57.936507936507944</c:v>
                </c:pt>
                <c:pt idx="3">
                  <c:v>62.090163934426236</c:v>
                </c:pt>
                <c:pt idx="4">
                  <c:v>55.575221238938056</c:v>
                </c:pt>
                <c:pt idx="5">
                  <c:v>52.581261950286809</c:v>
                </c:pt>
                <c:pt idx="6">
                  <c:v>55.833333333333336</c:v>
                </c:pt>
                <c:pt idx="7">
                  <c:v>54.382826475849733</c:v>
                </c:pt>
                <c:pt idx="8">
                  <c:v>56.240126382306478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'Dist. de Género Sistema CETYS'!$B$10</c:f>
              <c:strCache>
                <c:ptCount val="1"/>
                <c:pt idx="0">
                  <c:v>% de mujeres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'Dist. de Género Sistema CETYS'!$C$10:$K$10</c:f>
              <c:numCache>
                <c:formatCode>0.0</c:formatCode>
                <c:ptCount val="9"/>
                <c:pt idx="0">
                  <c:v>53.378378378378379</c:v>
                </c:pt>
                <c:pt idx="1">
                  <c:v>48.560460652591168</c:v>
                </c:pt>
                <c:pt idx="2">
                  <c:v>42.063492063492063</c:v>
                </c:pt>
                <c:pt idx="3">
                  <c:v>37.909836065573771</c:v>
                </c:pt>
                <c:pt idx="4">
                  <c:v>44.424778761061944</c:v>
                </c:pt>
                <c:pt idx="5">
                  <c:v>47.418738049713191</c:v>
                </c:pt>
                <c:pt idx="6">
                  <c:v>44.166666666666664</c:v>
                </c:pt>
                <c:pt idx="7">
                  <c:v>45.617173524150267</c:v>
                </c:pt>
                <c:pt idx="8">
                  <c:v>43.759873617693522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55008"/>
        <c:axId val="63756544"/>
      </c:lineChart>
      <c:catAx>
        <c:axId val="6375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756544"/>
        <c:crosses val="autoZero"/>
        <c:auto val="1"/>
        <c:lblAlgn val="ctr"/>
        <c:lblOffset val="100"/>
        <c:noMultiLvlLbl val="0"/>
      </c:catAx>
      <c:valAx>
        <c:axId val="63756544"/>
        <c:scaling>
          <c:orientation val="minMax"/>
          <c:max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637550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>
                <a:solidFill>
                  <a:srgbClr val="FF0000"/>
                </a:solidFill>
                <a:latin typeface="Arial Narrow" panose="020B0606020202030204" pitchFamily="34" charset="0"/>
              </a:rPr>
              <a:t>Colegio de AYN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3472739178130528E-2"/>
          <c:y val="0.15242139033678115"/>
          <c:w val="0.65131485597489747"/>
          <c:h val="0.78952096101896352"/>
        </c:manualLayout>
      </c:layout>
      <c:lineChart>
        <c:grouping val="standard"/>
        <c:varyColors val="0"/>
        <c:ser>
          <c:idx val="0"/>
          <c:order val="0"/>
          <c:tx>
            <c:strRef>
              <c:f>'Ret. y Efic. Term. por Colegio'!$B$8</c:f>
              <c:strCache>
                <c:ptCount val="1"/>
                <c:pt idx="0">
                  <c:v>% Retención al año 1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Term. por Colegio'!$C$8:$K$8</c:f>
              <c:numCache>
                <c:formatCode>General</c:formatCode>
                <c:ptCount val="9"/>
                <c:pt idx="0">
                  <c:v>81</c:v>
                </c:pt>
                <c:pt idx="1">
                  <c:v>79</c:v>
                </c:pt>
                <c:pt idx="2">
                  <c:v>81</c:v>
                </c:pt>
                <c:pt idx="3">
                  <c:v>78</c:v>
                </c:pt>
                <c:pt idx="4">
                  <c:v>81</c:v>
                </c:pt>
                <c:pt idx="5">
                  <c:v>81</c:v>
                </c:pt>
                <c:pt idx="6">
                  <c:v>81</c:v>
                </c:pt>
                <c:pt idx="7">
                  <c:v>77</c:v>
                </c:pt>
                <c:pt idx="8">
                  <c:v>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'Ret. y Efic. Term. por Colegio'!$B$9</c:f>
              <c:strCache>
                <c:ptCount val="1"/>
                <c:pt idx="0">
                  <c:v>% Retención al año 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Term. por Colegio'!$C$9:$J$9</c:f>
              <c:numCache>
                <c:formatCode>General</c:formatCode>
                <c:ptCount val="8"/>
                <c:pt idx="0">
                  <c:v>73</c:v>
                </c:pt>
                <c:pt idx="1">
                  <c:v>73</c:v>
                </c:pt>
                <c:pt idx="2">
                  <c:v>70</c:v>
                </c:pt>
                <c:pt idx="3">
                  <c:v>66</c:v>
                </c:pt>
                <c:pt idx="4">
                  <c:v>70</c:v>
                </c:pt>
                <c:pt idx="5">
                  <c:v>72</c:v>
                </c:pt>
                <c:pt idx="6">
                  <c:v>73</c:v>
                </c:pt>
                <c:pt idx="7">
                  <c:v>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'Ret. y Efic. Term. por Colegio'!$B$10</c:f>
              <c:strCache>
                <c:ptCount val="1"/>
                <c:pt idx="0">
                  <c:v>% Retención al año 3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pPr>
              <a:solidFill>
                <a:schemeClr val="tx1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Term. por Colegio'!$C$10:$I$10</c:f>
              <c:numCache>
                <c:formatCode>General</c:formatCode>
                <c:ptCount val="7"/>
                <c:pt idx="0">
                  <c:v>71</c:v>
                </c:pt>
                <c:pt idx="1">
                  <c:v>69</c:v>
                </c:pt>
                <c:pt idx="2">
                  <c:v>66</c:v>
                </c:pt>
                <c:pt idx="3">
                  <c:v>60</c:v>
                </c:pt>
                <c:pt idx="4">
                  <c:v>61</c:v>
                </c:pt>
                <c:pt idx="5">
                  <c:v>64</c:v>
                </c:pt>
                <c:pt idx="6">
                  <c:v>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'Ret. y Efic. Term. por Colegio'!$B$11</c:f>
              <c:strCache>
                <c:ptCount val="1"/>
                <c:pt idx="0">
                  <c:v>% Eficiencia al año 4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Term. por Colegio'!$C$11:$H$11</c:f>
              <c:numCache>
                <c:formatCode>General</c:formatCode>
                <c:ptCount val="6"/>
                <c:pt idx="0">
                  <c:v>52</c:v>
                </c:pt>
                <c:pt idx="1">
                  <c:v>49</c:v>
                </c:pt>
                <c:pt idx="2">
                  <c:v>49</c:v>
                </c:pt>
                <c:pt idx="3">
                  <c:v>40</c:v>
                </c:pt>
                <c:pt idx="4">
                  <c:v>45</c:v>
                </c:pt>
                <c:pt idx="5">
                  <c:v>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'Ret. y Efic. Term. por Colegio'!$B$12</c:f>
              <c:strCache>
                <c:ptCount val="1"/>
                <c:pt idx="0">
                  <c:v>% Eficiencia al año 5</c:v>
                </c:pt>
              </c:strCache>
            </c:strRef>
          </c:tx>
          <c:spPr>
            <a:ln>
              <a:solidFill>
                <a:srgbClr val="CC3300"/>
              </a:solidFill>
            </a:ln>
          </c:spPr>
          <c:marker>
            <c:symbol val="square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Term. por Colegio'!$C$12:$G$12</c:f>
              <c:numCache>
                <c:formatCode>General</c:formatCode>
                <c:ptCount val="5"/>
                <c:pt idx="0">
                  <c:v>62</c:v>
                </c:pt>
                <c:pt idx="1">
                  <c:v>56</c:v>
                </c:pt>
                <c:pt idx="2">
                  <c:v>56</c:v>
                </c:pt>
                <c:pt idx="3">
                  <c:v>51</c:v>
                </c:pt>
                <c:pt idx="4">
                  <c:v>55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'Ret. y Efic. Term. por Colegio'!$B$13</c:f>
              <c:strCache>
                <c:ptCount val="1"/>
                <c:pt idx="0">
                  <c:v>% Eficiencia al año 6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chemeClr val="tx1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Term. por Colegio'!$C$13:$F$13</c:f>
              <c:numCache>
                <c:formatCode>General</c:formatCode>
                <c:ptCount val="4"/>
                <c:pt idx="0">
                  <c:v>65</c:v>
                </c:pt>
                <c:pt idx="1">
                  <c:v>59</c:v>
                </c:pt>
                <c:pt idx="2">
                  <c:v>59</c:v>
                </c:pt>
                <c:pt idx="3">
                  <c:v>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40608"/>
        <c:axId val="63566976"/>
      </c:lineChart>
      <c:catAx>
        <c:axId val="6354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566976"/>
        <c:crosses val="autoZero"/>
        <c:auto val="1"/>
        <c:lblAlgn val="ctr"/>
        <c:lblOffset val="100"/>
        <c:noMultiLvlLbl val="0"/>
      </c:catAx>
      <c:valAx>
        <c:axId val="63566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5406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>
                <a:solidFill>
                  <a:srgbClr val="0000CC"/>
                </a:solidFill>
                <a:latin typeface="Arial Narrow" panose="020B0606020202030204" pitchFamily="34" charset="0"/>
              </a:defRPr>
            </a:pPr>
            <a:r>
              <a:rPr lang="en-US" sz="2400">
                <a:solidFill>
                  <a:srgbClr val="0000CC"/>
                </a:solidFill>
                <a:latin typeface="Arial Narrow" panose="020B0606020202030204" pitchFamily="34" charset="0"/>
              </a:rPr>
              <a:t>Colegio de CSYH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'Ret. y Efic. Term. por Colegio'!$B$14</c:f>
              <c:strCache>
                <c:ptCount val="1"/>
                <c:pt idx="0">
                  <c:v>% Retención al año 1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Term. por Colegio'!$C$14:$K$14</c:f>
              <c:numCache>
                <c:formatCode>General</c:formatCode>
                <c:ptCount val="9"/>
                <c:pt idx="0">
                  <c:v>86</c:v>
                </c:pt>
                <c:pt idx="1">
                  <c:v>88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88</c:v>
                </c:pt>
                <c:pt idx="6">
                  <c:v>84</c:v>
                </c:pt>
                <c:pt idx="7">
                  <c:v>81</c:v>
                </c:pt>
                <c:pt idx="8">
                  <c:v>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'Ret. y Efic. Term. por Colegio'!$B$15</c:f>
              <c:strCache>
                <c:ptCount val="1"/>
                <c:pt idx="0">
                  <c:v>% Retención al año 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Term. por Colegio'!$C$15:$J$15</c:f>
              <c:numCache>
                <c:formatCode>General</c:formatCode>
                <c:ptCount val="8"/>
                <c:pt idx="0">
                  <c:v>77</c:v>
                </c:pt>
                <c:pt idx="1">
                  <c:v>84</c:v>
                </c:pt>
                <c:pt idx="2">
                  <c:v>81</c:v>
                </c:pt>
                <c:pt idx="3">
                  <c:v>80</c:v>
                </c:pt>
                <c:pt idx="4">
                  <c:v>79</c:v>
                </c:pt>
                <c:pt idx="5">
                  <c:v>76</c:v>
                </c:pt>
                <c:pt idx="6">
                  <c:v>77</c:v>
                </c:pt>
                <c:pt idx="7">
                  <c:v>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'Ret. y Efic. Term. por Colegio'!$B$16</c:f>
              <c:strCache>
                <c:ptCount val="1"/>
                <c:pt idx="0">
                  <c:v>% Retención al año 3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ymbol val="triangle"/>
            <c:size val="5"/>
            <c:spPr>
              <a:solidFill>
                <a:schemeClr val="tx1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Term. por Colegio'!$C$16:$I$16</c:f>
              <c:numCache>
                <c:formatCode>General</c:formatCode>
                <c:ptCount val="7"/>
                <c:pt idx="0">
                  <c:v>67</c:v>
                </c:pt>
                <c:pt idx="1">
                  <c:v>80</c:v>
                </c:pt>
                <c:pt idx="2">
                  <c:v>70</c:v>
                </c:pt>
                <c:pt idx="3">
                  <c:v>80</c:v>
                </c:pt>
                <c:pt idx="4">
                  <c:v>80</c:v>
                </c:pt>
                <c:pt idx="5">
                  <c:v>69</c:v>
                </c:pt>
                <c:pt idx="6">
                  <c:v>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'Ret. y Efic. Term. por Colegio'!$B$17</c:f>
              <c:strCache>
                <c:ptCount val="1"/>
                <c:pt idx="0">
                  <c:v>% Eficiencia al año 4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Term. por Colegio'!$C$17:$H$17</c:f>
              <c:numCache>
                <c:formatCode>General</c:formatCode>
                <c:ptCount val="6"/>
                <c:pt idx="0">
                  <c:v>48</c:v>
                </c:pt>
                <c:pt idx="1">
                  <c:v>55</c:v>
                </c:pt>
                <c:pt idx="2">
                  <c:v>48</c:v>
                </c:pt>
                <c:pt idx="3">
                  <c:v>57</c:v>
                </c:pt>
                <c:pt idx="4">
                  <c:v>65</c:v>
                </c:pt>
                <c:pt idx="5">
                  <c:v>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'Ret. y Efic. Term. por Colegio'!$B$18</c:f>
              <c:strCache>
                <c:ptCount val="1"/>
                <c:pt idx="0">
                  <c:v>% Eficiencia al año 5</c:v>
                </c:pt>
              </c:strCache>
            </c:strRef>
          </c:tx>
          <c:marker>
            <c:symbol val="none"/>
          </c:marker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Term. por Colegio'!$C$18:$G$18</c:f>
              <c:numCache>
                <c:formatCode>General</c:formatCode>
                <c:ptCount val="5"/>
                <c:pt idx="0">
                  <c:v>59</c:v>
                </c:pt>
                <c:pt idx="1">
                  <c:v>67</c:v>
                </c:pt>
                <c:pt idx="2">
                  <c:v>59</c:v>
                </c:pt>
                <c:pt idx="3">
                  <c:v>65</c:v>
                </c:pt>
                <c:pt idx="4">
                  <c:v>72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'Ret. y Efic. Term. por Colegio'!$B$19</c:f>
              <c:strCache>
                <c:ptCount val="1"/>
                <c:pt idx="0">
                  <c:v>% Eficiencia al año 6</c:v>
                </c:pt>
              </c:strCache>
            </c:strRef>
          </c:tx>
          <c:spPr>
            <a:ln>
              <a:solidFill>
                <a:srgbClr val="CC3300"/>
              </a:solidFill>
            </a:ln>
          </c:spPr>
          <c:marker>
            <c:symbol val="square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Term. por Colegio'!$C$18:$G$18</c:f>
              <c:numCache>
                <c:formatCode>General</c:formatCode>
                <c:ptCount val="5"/>
                <c:pt idx="0">
                  <c:v>59</c:v>
                </c:pt>
                <c:pt idx="1">
                  <c:v>67</c:v>
                </c:pt>
                <c:pt idx="2">
                  <c:v>59</c:v>
                </c:pt>
                <c:pt idx="3">
                  <c:v>65</c:v>
                </c:pt>
                <c:pt idx="4">
                  <c:v>72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'Ret. y Efic. Term. por Colegio'!$B$19</c:f>
              <c:strCache>
                <c:ptCount val="1"/>
                <c:pt idx="0">
                  <c:v>% Eficiencia al año 6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</c:spPr>
          </c:marker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Term. por Colegio'!$C$19:$E$19</c:f>
              <c:numCache>
                <c:formatCode>General</c:formatCode>
                <c:ptCount val="3"/>
                <c:pt idx="0">
                  <c:v>62</c:v>
                </c:pt>
                <c:pt idx="1">
                  <c:v>70</c:v>
                </c:pt>
                <c:pt idx="2">
                  <c:v>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13184"/>
        <c:axId val="63627648"/>
      </c:lineChart>
      <c:catAx>
        <c:axId val="6361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627648"/>
        <c:crosses val="autoZero"/>
        <c:auto val="1"/>
        <c:lblAlgn val="ctr"/>
        <c:lblOffset val="100"/>
        <c:noMultiLvlLbl val="0"/>
      </c:catAx>
      <c:valAx>
        <c:axId val="636276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6131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>
                <a:latin typeface="Arial Narrow" panose="020B0606020202030204" pitchFamily="34" charset="0"/>
              </a:defRPr>
            </a:pPr>
            <a:r>
              <a:rPr lang="en-US" sz="2400">
                <a:latin typeface="Arial Narrow" panose="020B0606020202030204" pitchFamily="34" charset="0"/>
              </a:rPr>
              <a:t>Colegio de ING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'Ret. y Efic. Term. por Colegio'!$B$20</c:f>
              <c:strCache>
                <c:ptCount val="1"/>
                <c:pt idx="0">
                  <c:v>% Retención al año 1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Term. por Colegio'!$C$20:$K$20</c:f>
              <c:numCache>
                <c:formatCode>General</c:formatCode>
                <c:ptCount val="9"/>
                <c:pt idx="0">
                  <c:v>80</c:v>
                </c:pt>
                <c:pt idx="1">
                  <c:v>89</c:v>
                </c:pt>
                <c:pt idx="2">
                  <c:v>80</c:v>
                </c:pt>
                <c:pt idx="3">
                  <c:v>84</c:v>
                </c:pt>
                <c:pt idx="4">
                  <c:v>84</c:v>
                </c:pt>
                <c:pt idx="5">
                  <c:v>84</c:v>
                </c:pt>
                <c:pt idx="6">
                  <c:v>83</c:v>
                </c:pt>
                <c:pt idx="7">
                  <c:v>85</c:v>
                </c:pt>
                <c:pt idx="8">
                  <c:v>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'Ret. y Efic. Term. por Colegio'!$B$21</c:f>
              <c:strCache>
                <c:ptCount val="1"/>
                <c:pt idx="0">
                  <c:v>% Retención al año 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Term. por Colegio'!$C$21:$J$21</c:f>
              <c:numCache>
                <c:formatCode>General</c:formatCode>
                <c:ptCount val="8"/>
                <c:pt idx="0">
                  <c:v>78</c:v>
                </c:pt>
                <c:pt idx="1">
                  <c:v>82</c:v>
                </c:pt>
                <c:pt idx="2">
                  <c:v>74</c:v>
                </c:pt>
                <c:pt idx="3">
                  <c:v>76</c:v>
                </c:pt>
                <c:pt idx="4">
                  <c:v>78</c:v>
                </c:pt>
                <c:pt idx="5">
                  <c:v>76</c:v>
                </c:pt>
                <c:pt idx="6">
                  <c:v>74</c:v>
                </c:pt>
                <c:pt idx="7">
                  <c:v>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'Ret. y Efic. Term. por Colegio'!$B$22</c:f>
              <c:strCache>
                <c:ptCount val="1"/>
                <c:pt idx="0">
                  <c:v>% Retención al año 3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ymbol val="triangle"/>
            <c:size val="5"/>
            <c:spPr>
              <a:solidFill>
                <a:schemeClr val="tx1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Term. por Colegio'!$C$22:$I$22</c:f>
              <c:numCache>
                <c:formatCode>General</c:formatCode>
                <c:ptCount val="7"/>
                <c:pt idx="0">
                  <c:v>74</c:v>
                </c:pt>
                <c:pt idx="1">
                  <c:v>78</c:v>
                </c:pt>
                <c:pt idx="2">
                  <c:v>70</c:v>
                </c:pt>
                <c:pt idx="3">
                  <c:v>70</c:v>
                </c:pt>
                <c:pt idx="4">
                  <c:v>76</c:v>
                </c:pt>
                <c:pt idx="5">
                  <c:v>70</c:v>
                </c:pt>
                <c:pt idx="6">
                  <c:v>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'Ret. y Efic. Term. por Colegio'!$B$23</c:f>
              <c:strCache>
                <c:ptCount val="1"/>
                <c:pt idx="0">
                  <c:v>% Eficiencia al año 4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Term. por Colegio'!$C$23:$H$23</c:f>
              <c:numCache>
                <c:formatCode>General</c:formatCode>
                <c:ptCount val="6"/>
                <c:pt idx="0">
                  <c:v>57</c:v>
                </c:pt>
                <c:pt idx="1">
                  <c:v>63</c:v>
                </c:pt>
                <c:pt idx="2">
                  <c:v>51</c:v>
                </c:pt>
                <c:pt idx="3">
                  <c:v>52</c:v>
                </c:pt>
                <c:pt idx="4">
                  <c:v>59</c:v>
                </c:pt>
                <c:pt idx="5">
                  <c:v>50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'Ret. y Efic. Term. por Colegio'!$B$24</c:f>
              <c:strCache>
                <c:ptCount val="1"/>
                <c:pt idx="0">
                  <c:v>% Eficiencia al año 5</c:v>
                </c:pt>
              </c:strCache>
            </c:strRef>
          </c:tx>
          <c:spPr>
            <a:ln>
              <a:solidFill>
                <a:srgbClr val="CC3300"/>
              </a:solidFill>
            </a:ln>
          </c:spPr>
          <c:marker>
            <c:symbol val="square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Term. por Colegio'!$C$24:$G$24</c:f>
              <c:numCache>
                <c:formatCode>General</c:formatCode>
                <c:ptCount val="5"/>
                <c:pt idx="0">
                  <c:v>64</c:v>
                </c:pt>
                <c:pt idx="1">
                  <c:v>73</c:v>
                </c:pt>
                <c:pt idx="2">
                  <c:v>59</c:v>
                </c:pt>
                <c:pt idx="3">
                  <c:v>60</c:v>
                </c:pt>
                <c:pt idx="4">
                  <c:v>68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'Ret. y Efic. Term. por Colegio'!$B$25</c:f>
              <c:strCache>
                <c:ptCount val="1"/>
                <c:pt idx="0">
                  <c:v>% Eficiencia al año 6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'Ret. y Efic. Term. por Colegio'!$C$25:$F$25</c:f>
              <c:numCache>
                <c:formatCode>General</c:formatCode>
                <c:ptCount val="4"/>
                <c:pt idx="0">
                  <c:v>66</c:v>
                </c:pt>
                <c:pt idx="1">
                  <c:v>74</c:v>
                </c:pt>
                <c:pt idx="2">
                  <c:v>65</c:v>
                </c:pt>
                <c:pt idx="3">
                  <c:v>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86528"/>
        <c:axId val="63688064"/>
      </c:lineChart>
      <c:catAx>
        <c:axId val="6368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688064"/>
        <c:crosses val="autoZero"/>
        <c:auto val="1"/>
        <c:lblAlgn val="ctr"/>
        <c:lblOffset val="100"/>
        <c:noMultiLvlLbl val="0"/>
      </c:catAx>
      <c:valAx>
        <c:axId val="63688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6865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>
                <a:solidFill>
                  <a:srgbClr val="FF0000"/>
                </a:solidFill>
                <a:latin typeface="Arial Narrow" panose="020B0606020202030204" pitchFamily="34" charset="0"/>
              </a:rPr>
              <a:t>Población</a:t>
            </a:r>
            <a:r>
              <a:rPr lang="en-US" sz="2400" baseline="0">
                <a:solidFill>
                  <a:srgbClr val="FF0000"/>
                </a:solidFill>
                <a:latin typeface="Arial Narrow" panose="020B0606020202030204" pitchFamily="34" charset="0"/>
              </a:rPr>
              <a:t> inicial del Colegio de AYN</a:t>
            </a:r>
            <a:endParaRPr lang="en-US" sz="2400">
              <a:solidFill>
                <a:srgbClr val="FF0000"/>
              </a:solidFill>
              <a:latin typeface="Arial Narrow" panose="020B060602020203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3472739178130528E-2"/>
          <c:y val="0.15242139033678115"/>
          <c:w val="0.65131485597489747"/>
          <c:h val="0.78952096101896352"/>
        </c:manualLayout>
      </c:layout>
      <c:lineChart>
        <c:grouping val="standard"/>
        <c:varyColors val="0"/>
        <c:ser>
          <c:idx val="0"/>
          <c:order val="0"/>
          <c:tx>
            <c:strRef>
              <c:f>'Género por Colegio'!$B$8</c:f>
              <c:strCache>
                <c:ptCount val="1"/>
                <c:pt idx="0">
                  <c:v>Población inicial AYN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25400">
                <a:solidFill>
                  <a:schemeClr val="tx1"/>
                </a:solidFill>
                <a:prstDash val="sysDash"/>
              </a:ln>
            </c:spPr>
            <c:trendlineType val="linear"/>
            <c:dispRSqr val="0"/>
            <c:dispEq val="0"/>
          </c:trendline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'Género por Colegio'!$C$8:$K$8</c:f>
              <c:numCache>
                <c:formatCode>General</c:formatCode>
                <c:ptCount val="9"/>
                <c:pt idx="0">
                  <c:v>235</c:v>
                </c:pt>
                <c:pt idx="1">
                  <c:v>271</c:v>
                </c:pt>
                <c:pt idx="2">
                  <c:v>223</c:v>
                </c:pt>
                <c:pt idx="3">
                  <c:v>183</c:v>
                </c:pt>
                <c:pt idx="4">
                  <c:v>198</c:v>
                </c:pt>
                <c:pt idx="5">
                  <c:v>181</c:v>
                </c:pt>
                <c:pt idx="6">
                  <c:v>245</c:v>
                </c:pt>
                <c:pt idx="7">
                  <c:v>210</c:v>
                </c:pt>
                <c:pt idx="8">
                  <c:v>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14048"/>
        <c:axId val="64136320"/>
      </c:lineChart>
      <c:catAx>
        <c:axId val="6411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136320"/>
        <c:crosses val="autoZero"/>
        <c:auto val="1"/>
        <c:lblAlgn val="ctr"/>
        <c:lblOffset val="100"/>
        <c:noMultiLvlLbl val="0"/>
      </c:catAx>
      <c:valAx>
        <c:axId val="64136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1140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>
                <a:solidFill>
                  <a:srgbClr val="FF0000"/>
                </a:solidFill>
                <a:latin typeface="Arial Narrow" panose="020B0606020202030204" pitchFamily="34" charset="0"/>
              </a:rPr>
              <a:t>Distribución</a:t>
            </a:r>
            <a:r>
              <a:rPr lang="en-US" sz="2400" baseline="0">
                <a:solidFill>
                  <a:srgbClr val="FF0000"/>
                </a:solidFill>
                <a:latin typeface="Arial Narrow" panose="020B0606020202030204" pitchFamily="34" charset="0"/>
              </a:rPr>
              <a:t> de Género del Colegio de AYN</a:t>
            </a:r>
            <a:endParaRPr lang="en-US" sz="2400">
              <a:solidFill>
                <a:srgbClr val="FF0000"/>
              </a:solidFill>
              <a:latin typeface="Arial Narrow" panose="020B060602020203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3472739178130528E-2"/>
          <c:y val="0.15242139033678115"/>
          <c:w val="0.65131485597489747"/>
          <c:h val="0.78952096101896352"/>
        </c:manualLayout>
      </c:layout>
      <c:lineChart>
        <c:grouping val="standard"/>
        <c:varyColors val="0"/>
        <c:ser>
          <c:idx val="0"/>
          <c:order val="0"/>
          <c:tx>
            <c:strRef>
              <c:f>'Género por Colegio'!$B$9</c:f>
              <c:strCache>
                <c:ptCount val="1"/>
                <c:pt idx="0">
                  <c:v>% de Hombres</c:v>
                </c:pt>
              </c:strCache>
            </c:strRef>
          </c:tx>
          <c:spPr>
            <a:ln>
              <a:solidFill>
                <a:srgbClr val="00FF00"/>
              </a:solidFill>
            </a:ln>
          </c:spPr>
          <c:marker>
            <c:symbol val="diamond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'Género por Colegio'!$C$9:$K$9</c:f>
              <c:numCache>
                <c:formatCode>0.00</c:formatCode>
                <c:ptCount val="9"/>
                <c:pt idx="0">
                  <c:v>39.574468085106382</c:v>
                </c:pt>
                <c:pt idx="1">
                  <c:v>39.114391143911433</c:v>
                </c:pt>
                <c:pt idx="2">
                  <c:v>46.63677130044843</c:v>
                </c:pt>
                <c:pt idx="3">
                  <c:v>48.633879781420767</c:v>
                </c:pt>
                <c:pt idx="4">
                  <c:v>40.909090909090914</c:v>
                </c:pt>
                <c:pt idx="5">
                  <c:v>38.674033149171272</c:v>
                </c:pt>
                <c:pt idx="6" formatCode="General">
                  <c:v>40</c:v>
                </c:pt>
                <c:pt idx="7">
                  <c:v>42.857142857142854</c:v>
                </c:pt>
                <c:pt idx="8">
                  <c:v>45.147679324894511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'Género por Colegio'!$B$10</c:f>
              <c:strCache>
                <c:ptCount val="1"/>
                <c:pt idx="0">
                  <c:v>% de Mujeres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0000CC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'Ret. y Efic. Term. por Colegio'!$C$7:$K$7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'Género por Colegio'!$C$10:$K$10</c:f>
              <c:numCache>
                <c:formatCode>0.00</c:formatCode>
                <c:ptCount val="9"/>
                <c:pt idx="0">
                  <c:v>60.425531914893618</c:v>
                </c:pt>
                <c:pt idx="1">
                  <c:v>60.88560885608856</c:v>
                </c:pt>
                <c:pt idx="2">
                  <c:v>53.36322869955157</c:v>
                </c:pt>
                <c:pt idx="3">
                  <c:v>51.366120218579233</c:v>
                </c:pt>
                <c:pt idx="4">
                  <c:v>59.090909090909093</c:v>
                </c:pt>
                <c:pt idx="5">
                  <c:v>61.325966850828728</c:v>
                </c:pt>
                <c:pt idx="6" formatCode="General">
                  <c:v>60</c:v>
                </c:pt>
                <c:pt idx="7">
                  <c:v>57.142857142857139</c:v>
                </c:pt>
                <c:pt idx="8">
                  <c:v>54.852320675105481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67296"/>
        <c:axId val="64173184"/>
      </c:lineChart>
      <c:catAx>
        <c:axId val="6416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173184"/>
        <c:crosses val="autoZero"/>
        <c:auto val="1"/>
        <c:lblAlgn val="ctr"/>
        <c:lblOffset val="100"/>
        <c:noMultiLvlLbl val="0"/>
      </c:catAx>
      <c:valAx>
        <c:axId val="64173184"/>
        <c:scaling>
          <c:orientation val="minMax"/>
          <c:max val="10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41672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8</xdr:col>
      <xdr:colOff>95931</xdr:colOff>
      <xdr:row>37</xdr:row>
      <xdr:rowOff>100011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721179</xdr:colOff>
      <xdr:row>16</xdr:row>
      <xdr:rowOff>13608</xdr:rowOff>
    </xdr:from>
    <xdr:to>
      <xdr:col>16</xdr:col>
      <xdr:colOff>735467</xdr:colOff>
      <xdr:row>37</xdr:row>
      <xdr:rowOff>113619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</xdr:colOff>
      <xdr:row>11</xdr:row>
      <xdr:rowOff>13606</xdr:rowOff>
    </xdr:from>
    <xdr:to>
      <xdr:col>7</xdr:col>
      <xdr:colOff>136071</xdr:colOff>
      <xdr:row>32</xdr:row>
      <xdr:rowOff>113617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476249</xdr:colOff>
      <xdr:row>11</xdr:row>
      <xdr:rowOff>13607</xdr:rowOff>
    </xdr:from>
    <xdr:to>
      <xdr:col>15</xdr:col>
      <xdr:colOff>748392</xdr:colOff>
      <xdr:row>32</xdr:row>
      <xdr:rowOff>113618</xdr:rowOff>
    </xdr:to>
    <xdr:graphicFrame macro="">
      <xdr:nvGraphicFramePr>
        <xdr:cNvPr id="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100011</xdr:colOff>
      <xdr:row>27</xdr:row>
      <xdr:rowOff>95252</xdr:rowOff>
    </xdr:from>
    <xdr:to>
      <xdr:col>10</xdr:col>
      <xdr:colOff>226218</xdr:colOff>
      <xdr:row>49</xdr:row>
      <xdr:rowOff>28576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495298</xdr:colOff>
      <xdr:row>27</xdr:row>
      <xdr:rowOff>90490</xdr:rowOff>
    </xdr:from>
    <xdr:to>
      <xdr:col>22</xdr:col>
      <xdr:colOff>238124</xdr:colOff>
      <xdr:row>49</xdr:row>
      <xdr:rowOff>35720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76202</xdr:colOff>
      <xdr:row>49</xdr:row>
      <xdr:rowOff>200026</xdr:rowOff>
    </xdr:from>
    <xdr:to>
      <xdr:col>10</xdr:col>
      <xdr:colOff>247650</xdr:colOff>
      <xdr:row>75</xdr:row>
      <xdr:rowOff>71438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297657</xdr:colOff>
      <xdr:row>17</xdr:row>
      <xdr:rowOff>154782</xdr:rowOff>
    </xdr:from>
    <xdr:to>
      <xdr:col>10</xdr:col>
      <xdr:colOff>292896</xdr:colOff>
      <xdr:row>39</xdr:row>
      <xdr:rowOff>88105</xdr:rowOff>
    </xdr:to>
    <xdr:graphicFrame macro="">
      <xdr:nvGraphicFramePr>
        <xdr:cNvPr id="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547688</xdr:colOff>
      <xdr:row>17</xdr:row>
      <xdr:rowOff>154782</xdr:rowOff>
    </xdr:from>
    <xdr:to>
      <xdr:col>22</xdr:col>
      <xdr:colOff>269083</xdr:colOff>
      <xdr:row>39</xdr:row>
      <xdr:rowOff>88105</xdr:rowOff>
    </xdr:to>
    <xdr:graphicFrame macro="">
      <xdr:nvGraphicFramePr>
        <xdr:cNvPr id="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321469</xdr:colOff>
      <xdr:row>40</xdr:row>
      <xdr:rowOff>35719</xdr:rowOff>
    </xdr:from>
    <xdr:to>
      <xdr:col>10</xdr:col>
      <xdr:colOff>338139</xdr:colOff>
      <xdr:row>61</xdr:row>
      <xdr:rowOff>183355</xdr:rowOff>
    </xdr:to>
    <xdr:graphicFrame macro="">
      <xdr:nvGraphicFramePr>
        <xdr:cNvPr id="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583406</xdr:colOff>
      <xdr:row>40</xdr:row>
      <xdr:rowOff>71437</xdr:rowOff>
    </xdr:from>
    <xdr:to>
      <xdr:col>22</xdr:col>
      <xdr:colOff>326232</xdr:colOff>
      <xdr:row>62</xdr:row>
      <xdr:rowOff>16666</xdr:rowOff>
    </xdr:to>
    <xdr:graphicFrame macro="">
      <xdr:nvGraphicFramePr>
        <xdr:cNvPr id="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309562</xdr:colOff>
      <xdr:row>62</xdr:row>
      <xdr:rowOff>190500</xdr:rowOff>
    </xdr:from>
    <xdr:to>
      <xdr:col>10</xdr:col>
      <xdr:colOff>350042</xdr:colOff>
      <xdr:row>88</xdr:row>
      <xdr:rowOff>61913</xdr:rowOff>
    </xdr:to>
    <xdr:graphicFrame macro="">
      <xdr:nvGraphicFramePr>
        <xdr:cNvPr id="1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583407</xdr:colOff>
      <xdr:row>63</xdr:row>
      <xdr:rowOff>23812</xdr:rowOff>
    </xdr:from>
    <xdr:to>
      <xdr:col>22</xdr:col>
      <xdr:colOff>350043</xdr:colOff>
      <xdr:row>88</xdr:row>
      <xdr:rowOff>97631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31</xdr:row>
      <xdr:rowOff>114300</xdr:rowOff>
    </xdr:from>
    <xdr:to>
      <xdr:col>7</xdr:col>
      <xdr:colOff>690564</xdr:colOff>
      <xdr:row>53</xdr:row>
      <xdr:rowOff>100011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314325</xdr:colOff>
      <xdr:row>31</xdr:row>
      <xdr:rowOff>123825</xdr:rowOff>
    </xdr:from>
    <xdr:to>
      <xdr:col>16</xdr:col>
      <xdr:colOff>328614</xdr:colOff>
      <xdr:row>53</xdr:row>
      <xdr:rowOff>109536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504825</xdr:colOff>
      <xdr:row>54</xdr:row>
      <xdr:rowOff>57150</xdr:rowOff>
    </xdr:from>
    <xdr:to>
      <xdr:col>7</xdr:col>
      <xdr:colOff>709614</xdr:colOff>
      <xdr:row>76</xdr:row>
      <xdr:rowOff>42861</xdr:rowOff>
    </xdr:to>
    <xdr:graphicFrame macro="">
      <xdr:nvGraphicFramePr>
        <xdr:cNvPr id="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9525</xdr:rowOff>
    </xdr:from>
    <xdr:to>
      <xdr:col>7</xdr:col>
      <xdr:colOff>204789</xdr:colOff>
      <xdr:row>48</xdr:row>
      <xdr:rowOff>195261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476250</xdr:colOff>
      <xdr:row>27</xdr:row>
      <xdr:rowOff>28575</xdr:rowOff>
    </xdr:from>
    <xdr:to>
      <xdr:col>15</xdr:col>
      <xdr:colOff>490539</xdr:colOff>
      <xdr:row>49</xdr:row>
      <xdr:rowOff>14286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32</xdr:row>
      <xdr:rowOff>19050</xdr:rowOff>
    </xdr:from>
    <xdr:to>
      <xdr:col>16</xdr:col>
      <xdr:colOff>52389</xdr:colOff>
      <xdr:row>54</xdr:row>
      <xdr:rowOff>4761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31</xdr:row>
      <xdr:rowOff>190500</xdr:rowOff>
    </xdr:from>
    <xdr:to>
      <xdr:col>7</xdr:col>
      <xdr:colOff>490539</xdr:colOff>
      <xdr:row>53</xdr:row>
      <xdr:rowOff>176211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304800</xdr:colOff>
      <xdr:row>54</xdr:row>
      <xdr:rowOff>123825</xdr:rowOff>
    </xdr:from>
    <xdr:to>
      <xdr:col>7</xdr:col>
      <xdr:colOff>509589</xdr:colOff>
      <xdr:row>76</xdr:row>
      <xdr:rowOff>109536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opLeftCell="A19" zoomScale="70" zoomScaleNormal="70" workbookViewId="0">
      <selection activeCell="D40" sqref="D40"/>
    </sheetView>
  </sheetViews>
  <sheetFormatPr defaultColWidth="11.5546875" defaultRowHeight="15.6" x14ac:dyDescent="0.3"/>
  <cols>
    <col min="1" max="1" width="15.109375" customWidth="1"/>
    <col min="2" max="2" width="21.5546875" bestFit="1" customWidth="1"/>
  </cols>
  <sheetData>
    <row r="1" spans="1:15" x14ac:dyDescent="0.3">
      <c r="A1" s="4" t="s">
        <v>17</v>
      </c>
    </row>
    <row r="2" spans="1:15" x14ac:dyDescent="0.3">
      <c r="A2" s="4" t="s">
        <v>121</v>
      </c>
    </row>
    <row r="3" spans="1:15" x14ac:dyDescent="0.3">
      <c r="A3" s="4" t="s">
        <v>19</v>
      </c>
    </row>
    <row r="4" spans="1:15" x14ac:dyDescent="0.3">
      <c r="A4" s="4" t="s">
        <v>122</v>
      </c>
      <c r="I4" s="8"/>
    </row>
    <row r="6" spans="1:15" x14ac:dyDescent="0.3">
      <c r="C6" s="94" t="s">
        <v>10</v>
      </c>
      <c r="D6" s="95"/>
      <c r="E6" s="95"/>
      <c r="F6" s="95"/>
      <c r="G6" s="95"/>
      <c r="H6" s="95"/>
      <c r="I6" s="95"/>
      <c r="J6" s="95"/>
      <c r="K6" s="96"/>
      <c r="L6" s="97" t="s">
        <v>83</v>
      </c>
      <c r="M6" s="97"/>
      <c r="N6" s="98" t="s">
        <v>81</v>
      </c>
      <c r="O6" s="99"/>
    </row>
    <row r="7" spans="1:15" x14ac:dyDescent="0.3">
      <c r="A7" s="1" t="s">
        <v>82</v>
      </c>
      <c r="B7" s="1" t="s">
        <v>0</v>
      </c>
      <c r="C7" s="2">
        <v>2004</v>
      </c>
      <c r="D7" s="3">
        <v>2005</v>
      </c>
      <c r="E7" s="3">
        <v>2006</v>
      </c>
      <c r="F7" s="3">
        <v>2007</v>
      </c>
      <c r="G7" s="3">
        <v>2008</v>
      </c>
      <c r="H7" s="3">
        <v>2009</v>
      </c>
      <c r="I7" s="3">
        <v>2010</v>
      </c>
      <c r="J7" s="3">
        <v>2011</v>
      </c>
      <c r="K7" s="3">
        <v>2012</v>
      </c>
      <c r="L7" s="3" t="s">
        <v>11</v>
      </c>
      <c r="M7" s="3" t="s">
        <v>12</v>
      </c>
      <c r="N7" s="3" t="s">
        <v>78</v>
      </c>
      <c r="O7" s="3" t="s">
        <v>79</v>
      </c>
    </row>
    <row r="8" spans="1:15" x14ac:dyDescent="0.3">
      <c r="A8" s="91" t="s">
        <v>82</v>
      </c>
      <c r="B8" s="12" t="s">
        <v>124</v>
      </c>
      <c r="C8" s="12">
        <f>235+66+143</f>
        <v>444</v>
      </c>
      <c r="D8" s="12">
        <f>271+69+181</f>
        <v>521</v>
      </c>
      <c r="E8" s="12">
        <f>223+54+227</f>
        <v>504</v>
      </c>
      <c r="F8" s="12">
        <f>183+51+254</f>
        <v>488</v>
      </c>
      <c r="G8" s="12">
        <f>198+75+292</f>
        <v>565</v>
      </c>
      <c r="H8" s="12">
        <f>181+75+267</f>
        <v>523</v>
      </c>
      <c r="I8" s="12">
        <f>245+74+281</f>
        <v>600</v>
      </c>
      <c r="J8" s="12">
        <f>210+64+285</f>
        <v>559</v>
      </c>
      <c r="K8" s="12">
        <f>237+95+301</f>
        <v>633</v>
      </c>
      <c r="L8" s="16">
        <f>AVERAGE(C8:K8)</f>
        <v>537.44444444444446</v>
      </c>
      <c r="M8" s="16">
        <f>_xlfn.STDEV.S(C8:K8)</f>
        <v>58.140156327427881</v>
      </c>
      <c r="N8" s="16">
        <f>(L8-(2.306*(M8/SQRT(9))))</f>
        <v>492.75404428076155</v>
      </c>
      <c r="O8" s="16">
        <f>(L8+(2.306*(M8/SQRT(9))))</f>
        <v>582.13484460812731</v>
      </c>
    </row>
    <row r="9" spans="1:15" ht="15.75" customHeight="1" x14ac:dyDescent="0.3">
      <c r="A9" s="92"/>
      <c r="B9" s="13" t="s">
        <v>4</v>
      </c>
      <c r="C9" s="14">
        <f>(191+57+115)/C8*100</f>
        <v>81.756756756756758</v>
      </c>
      <c r="D9" s="14">
        <f>(215+61+161)/D8*100</f>
        <v>83.87715930902111</v>
      </c>
      <c r="E9" s="14">
        <f>(181+45+182)/E8*100</f>
        <v>80.952380952380949</v>
      </c>
      <c r="F9" s="14">
        <f>(142+43+214)/F8*100</f>
        <v>81.762295081967224</v>
      </c>
      <c r="G9" s="14">
        <f>(161+64+245)/G8*100</f>
        <v>83.185840707964601</v>
      </c>
      <c r="H9" s="14">
        <f>(146+66+224)/H8*100</f>
        <v>83.365200764818354</v>
      </c>
      <c r="I9" s="14">
        <f>(199+62+232)/I8*100</f>
        <v>82.166666666666671</v>
      </c>
      <c r="J9" s="14">
        <f>(161+52+243)/J8*100</f>
        <v>81.574239713774602</v>
      </c>
      <c r="K9" s="14">
        <f>(191+80+259)/K8*100</f>
        <v>83.728278041074248</v>
      </c>
      <c r="L9" s="17">
        <f>AVERAGE(C9:K9)</f>
        <v>82.485424221602727</v>
      </c>
      <c r="M9" s="17">
        <f>_xlfn.STDEV.S(C9:K9)</f>
        <v>1.065490466219805</v>
      </c>
      <c r="N9" s="17">
        <f>(L9-(2.306*(M9/SQRT(9))))</f>
        <v>81.666417216568433</v>
      </c>
      <c r="O9" s="17">
        <f>(L9+(2.306*(M9/SQRT(9))))</f>
        <v>83.304431226637021</v>
      </c>
    </row>
    <row r="10" spans="1:15" x14ac:dyDescent="0.3">
      <c r="A10" s="92"/>
      <c r="B10" s="13" t="s">
        <v>5</v>
      </c>
      <c r="C10" s="14">
        <f>(172+51+111)/C8*100</f>
        <v>75.225225225225216</v>
      </c>
      <c r="D10" s="14">
        <f>(197+58+149)/D8*100</f>
        <v>77.543186180422268</v>
      </c>
      <c r="E10" s="14">
        <f>(155+44+169)/E8*100</f>
        <v>73.015873015873012</v>
      </c>
      <c r="F10" s="14">
        <f>(120+41+192)/F8*100</f>
        <v>72.336065573770497</v>
      </c>
      <c r="G10" s="14">
        <f>(139+59+229)/G8*100</f>
        <v>75.575221238938056</v>
      </c>
      <c r="H10" s="14">
        <f>(130+57+203)/H8*100</f>
        <v>74.569789674952204</v>
      </c>
      <c r="I10" s="14">
        <f>(180+57+209)/I8*100</f>
        <v>74.333333333333329</v>
      </c>
      <c r="J10" s="14">
        <f>(150+48+217)/J8*100</f>
        <v>74.23971377459749</v>
      </c>
      <c r="K10" s="14" t="s">
        <v>7</v>
      </c>
      <c r="L10" s="17">
        <f t="shared" ref="L10:L14" si="0">AVERAGE(C10:K10)</f>
        <v>74.604801002139013</v>
      </c>
      <c r="M10" s="17">
        <f t="shared" ref="M10:M14" si="1">_xlfn.STDEV.S(C10:K10)</f>
        <v>1.5964608567507725</v>
      </c>
      <c r="N10" s="17">
        <f t="shared" ref="N10:N14" si="2">(L10-(2.306*(M10/SQRT(9))))</f>
        <v>73.377654756916584</v>
      </c>
      <c r="O10" s="17">
        <f t="shared" ref="O10:O14" si="3">(L10+(2.306*(M10/SQRT(9))))</f>
        <v>75.831947247361441</v>
      </c>
    </row>
    <row r="11" spans="1:15" x14ac:dyDescent="0.3">
      <c r="A11" s="92"/>
      <c r="B11" s="13" t="s">
        <v>20</v>
      </c>
      <c r="C11" s="14">
        <f>(166+44+106)/C8*100</f>
        <v>71.171171171171167</v>
      </c>
      <c r="D11" s="14">
        <f>(186+55+142)/D8*100</f>
        <v>73.512476007677535</v>
      </c>
      <c r="E11" s="14">
        <f>(148+38+160)/E8*100</f>
        <v>68.650793650793645</v>
      </c>
      <c r="F11" s="14">
        <f>(110+41+177)/F8*100</f>
        <v>67.213114754098356</v>
      </c>
      <c r="G11" s="14">
        <f>(121+60+221)/G8*100</f>
        <v>71.150442477876112</v>
      </c>
      <c r="H11" s="14">
        <f>(116+52+186)/H8*100</f>
        <v>67.686424474187376</v>
      </c>
      <c r="I11" s="14">
        <f>(169+51+191)/I8*100</f>
        <v>68.5</v>
      </c>
      <c r="J11" s="14" t="s">
        <v>7</v>
      </c>
      <c r="K11" s="14" t="s">
        <v>7</v>
      </c>
      <c r="L11" s="17">
        <f t="shared" si="0"/>
        <v>69.697774647972025</v>
      </c>
      <c r="M11" s="17">
        <f t="shared" si="1"/>
        <v>2.2943040058638564</v>
      </c>
      <c r="N11" s="17">
        <f t="shared" si="2"/>
        <v>67.934219635464672</v>
      </c>
      <c r="O11" s="17">
        <f t="shared" si="3"/>
        <v>71.461329660479379</v>
      </c>
    </row>
    <row r="12" spans="1:15" x14ac:dyDescent="0.3">
      <c r="A12" s="92"/>
      <c r="B12" s="13" t="s">
        <v>8</v>
      </c>
      <c r="C12" s="14">
        <f>(122+32+82)/C8*100</f>
        <v>53.153153153153156</v>
      </c>
      <c r="D12" s="14">
        <f>(134+38+114)/D8*100</f>
        <v>54.894433781190024</v>
      </c>
      <c r="E12" s="14">
        <f>(110+26+115)/E8*100</f>
        <v>49.801587301587304</v>
      </c>
      <c r="F12" s="14">
        <f>(74+29+133)/F8*100</f>
        <v>48.360655737704917</v>
      </c>
      <c r="G12" s="14">
        <f>(90+49+173)/G8*100</f>
        <v>55.221238938053098</v>
      </c>
      <c r="H12" s="14">
        <f>(92+38+134)/H8*100</f>
        <v>50.478011472275327</v>
      </c>
      <c r="I12" s="15">
        <f>(8+1+9)/I8*100</f>
        <v>3</v>
      </c>
      <c r="J12" s="15">
        <f>(3+0+4)/J8*100</f>
        <v>1.2522361359570662</v>
      </c>
      <c r="K12" s="15">
        <f>(0+0+1)/K8*100</f>
        <v>0.15797788309636651</v>
      </c>
      <c r="L12" s="17">
        <f>AVERAGE(C12:H12)</f>
        <v>51.984846730660642</v>
      </c>
      <c r="M12" s="17">
        <f>_xlfn.STDEV.S(C12:H12)</f>
        <v>2.8452348165129822</v>
      </c>
      <c r="N12" s="17">
        <f t="shared" si="2"/>
        <v>49.797809568367661</v>
      </c>
      <c r="O12" s="17">
        <f t="shared" si="3"/>
        <v>54.171883892953623</v>
      </c>
    </row>
    <row r="13" spans="1:15" x14ac:dyDescent="0.3">
      <c r="A13" s="92"/>
      <c r="B13" s="13" t="s">
        <v>9</v>
      </c>
      <c r="C13" s="14">
        <f>(146+39+91)/C8*100</f>
        <v>62.162162162162161</v>
      </c>
      <c r="D13" s="14">
        <f>(153+46+132)/D8*100</f>
        <v>63.531669865642989</v>
      </c>
      <c r="E13" s="14">
        <f>(125+32+133)/E8*100</f>
        <v>57.539682539682538</v>
      </c>
      <c r="F13" s="14">
        <f>(94+33+152)/F8*100</f>
        <v>57.172131147540981</v>
      </c>
      <c r="G13" s="14">
        <f>(109+54+198)/G8*100</f>
        <v>63.89380530973451</v>
      </c>
      <c r="H13" s="14" t="s">
        <v>7</v>
      </c>
      <c r="I13" s="14" t="s">
        <v>7</v>
      </c>
      <c r="J13" s="14" t="s">
        <v>7</v>
      </c>
      <c r="K13" s="14" t="s">
        <v>7</v>
      </c>
      <c r="L13" s="17">
        <f t="shared" si="0"/>
        <v>60.859890204952627</v>
      </c>
      <c r="M13" s="17">
        <f t="shared" si="1"/>
        <v>3.2658194023428719</v>
      </c>
      <c r="N13" s="17">
        <f t="shared" si="2"/>
        <v>58.349563691018403</v>
      </c>
      <c r="O13" s="17">
        <f t="shared" si="3"/>
        <v>63.370216718886851</v>
      </c>
    </row>
    <row r="14" spans="1:15" x14ac:dyDescent="0.3">
      <c r="A14" s="93"/>
      <c r="B14" s="13" t="s">
        <v>6</v>
      </c>
      <c r="C14" s="14">
        <f>(153+41+94)/C8*100</f>
        <v>64.86486486486487</v>
      </c>
      <c r="D14" s="14">
        <f>(159+48+134)/D8*100</f>
        <v>65.451055662188097</v>
      </c>
      <c r="E14" s="14">
        <f>(131+33+147)/E8*100</f>
        <v>61.706349206349209</v>
      </c>
      <c r="F14" s="14">
        <f>(95+33+158)/F8*100</f>
        <v>58.606557377049185</v>
      </c>
      <c r="G14" s="14" t="s">
        <v>7</v>
      </c>
      <c r="H14" s="14" t="s">
        <v>7</v>
      </c>
      <c r="I14" s="14" t="s">
        <v>7</v>
      </c>
      <c r="J14" s="14" t="s">
        <v>7</v>
      </c>
      <c r="K14" s="14" t="s">
        <v>7</v>
      </c>
      <c r="L14" s="17">
        <f t="shared" si="0"/>
        <v>62.657206777612842</v>
      </c>
      <c r="M14" s="17">
        <f t="shared" si="1"/>
        <v>3.1618157498062072</v>
      </c>
      <c r="N14" s="17">
        <f t="shared" si="2"/>
        <v>60.226824404595135</v>
      </c>
      <c r="O14" s="17">
        <f t="shared" si="3"/>
        <v>65.087589150630549</v>
      </c>
    </row>
    <row r="17" spans="19:19" x14ac:dyDescent="0.3">
      <c r="S17" s="8"/>
    </row>
    <row r="18" spans="19:19" x14ac:dyDescent="0.3">
      <c r="S18" s="8"/>
    </row>
  </sheetData>
  <mergeCells count="4">
    <mergeCell ref="A8:A14"/>
    <mergeCell ref="C6:K6"/>
    <mergeCell ref="L6:M6"/>
    <mergeCell ref="N6:O6"/>
  </mergeCells>
  <pageMargins left="0.7" right="0.7" top="0.75" bottom="0.75" header="0.3" footer="0.3"/>
  <pageSetup paperSize="9" orientation="portrait" r:id="rId1"/>
  <ignoredErrors>
    <ignoredError sqref="L12:M1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="70" zoomScaleNormal="70" workbookViewId="0">
      <selection activeCell="L2" sqref="L2"/>
    </sheetView>
  </sheetViews>
  <sheetFormatPr defaultColWidth="11.5546875" defaultRowHeight="15.6" x14ac:dyDescent="0.3"/>
  <cols>
    <col min="1" max="1" width="15.109375" customWidth="1"/>
    <col min="2" max="2" width="21.5546875" bestFit="1" customWidth="1"/>
  </cols>
  <sheetData>
    <row r="1" spans="1:19" x14ac:dyDescent="0.3">
      <c r="A1" s="4" t="s">
        <v>17</v>
      </c>
    </row>
    <row r="2" spans="1:19" x14ac:dyDescent="0.3">
      <c r="A2" s="4" t="s">
        <v>123</v>
      </c>
    </row>
    <row r="3" spans="1:19" x14ac:dyDescent="0.3">
      <c r="A3" s="4" t="s">
        <v>19</v>
      </c>
    </row>
    <row r="4" spans="1:19" x14ac:dyDescent="0.3">
      <c r="A4" s="4" t="s">
        <v>122</v>
      </c>
      <c r="I4" s="8"/>
    </row>
    <row r="6" spans="1:19" x14ac:dyDescent="0.3">
      <c r="C6" s="94" t="s">
        <v>10</v>
      </c>
      <c r="D6" s="95"/>
      <c r="E6" s="95"/>
      <c r="F6" s="95"/>
      <c r="G6" s="95"/>
      <c r="H6" s="95"/>
      <c r="I6" s="95"/>
      <c r="J6" s="95"/>
      <c r="K6" s="96"/>
      <c r="L6" s="97" t="s">
        <v>83</v>
      </c>
      <c r="M6" s="97"/>
      <c r="N6" s="98" t="s">
        <v>81</v>
      </c>
      <c r="O6" s="99"/>
    </row>
    <row r="7" spans="1:19" x14ac:dyDescent="0.3">
      <c r="A7" s="1" t="s">
        <v>82</v>
      </c>
      <c r="B7" s="1" t="s">
        <v>0</v>
      </c>
      <c r="C7" s="2">
        <v>2004</v>
      </c>
      <c r="D7" s="3">
        <v>2005</v>
      </c>
      <c r="E7" s="3">
        <v>2006</v>
      </c>
      <c r="F7" s="3">
        <v>2007</v>
      </c>
      <c r="G7" s="3">
        <v>2008</v>
      </c>
      <c r="H7" s="3">
        <v>2009</v>
      </c>
      <c r="I7" s="3">
        <v>2010</v>
      </c>
      <c r="J7" s="3">
        <v>2011</v>
      </c>
      <c r="K7" s="3">
        <v>2012</v>
      </c>
      <c r="L7" s="3" t="s">
        <v>11</v>
      </c>
      <c r="M7" s="3" t="s">
        <v>12</v>
      </c>
      <c r="N7" s="3" t="s">
        <v>78</v>
      </c>
      <c r="O7" s="3" t="s">
        <v>79</v>
      </c>
    </row>
    <row r="8" spans="1:19" x14ac:dyDescent="0.3">
      <c r="A8" s="100" t="s">
        <v>82</v>
      </c>
      <c r="B8" s="86" t="s">
        <v>80</v>
      </c>
      <c r="C8" s="86">
        <f>235+66+143</f>
        <v>444</v>
      </c>
      <c r="D8" s="86">
        <f>271+69+181</f>
        <v>521</v>
      </c>
      <c r="E8" s="86">
        <f>223+54+227</f>
        <v>504</v>
      </c>
      <c r="F8" s="86">
        <f>183+51+254</f>
        <v>488</v>
      </c>
      <c r="G8" s="86">
        <f>198+75+292</f>
        <v>565</v>
      </c>
      <c r="H8" s="86">
        <f>181+75+267</f>
        <v>523</v>
      </c>
      <c r="I8" s="86">
        <f>245+74+281</f>
        <v>600</v>
      </c>
      <c r="J8" s="86">
        <f>210+64+285</f>
        <v>559</v>
      </c>
      <c r="K8" s="86">
        <f>237+95+301</f>
        <v>633</v>
      </c>
      <c r="L8" s="16">
        <f>AVERAGE(C8:K8)</f>
        <v>537.44444444444446</v>
      </c>
      <c r="M8" s="16">
        <f>_xlfn.STDEV.S(C8:K8)</f>
        <v>58.140156327427881</v>
      </c>
      <c r="N8" s="16">
        <f>(L8-(2.306*(M8/SQRT(9))))</f>
        <v>492.75404428076155</v>
      </c>
      <c r="O8" s="16">
        <f>(L8+(2.306*(M8/SQRT(9))))</f>
        <v>582.13484460812731</v>
      </c>
    </row>
    <row r="9" spans="1:19" ht="15.75" customHeight="1" x14ac:dyDescent="0.3">
      <c r="A9" s="100"/>
      <c r="B9" s="87" t="s">
        <v>119</v>
      </c>
      <c r="C9" s="14">
        <f>(207/C8)*100</f>
        <v>46.621621621621621</v>
      </c>
      <c r="D9" s="14">
        <f>(268/D8)*100</f>
        <v>51.439539347408825</v>
      </c>
      <c r="E9" s="14">
        <f>(292/E8)*100</f>
        <v>57.936507936507944</v>
      </c>
      <c r="F9" s="14">
        <f>(303/F8)*100</f>
        <v>62.090163934426236</v>
      </c>
      <c r="G9" s="14">
        <f>(314/G8)*100</f>
        <v>55.575221238938056</v>
      </c>
      <c r="H9" s="14">
        <f>(275/H8)*100</f>
        <v>52.581261950286809</v>
      </c>
      <c r="I9" s="14">
        <f>(335/I8)*100</f>
        <v>55.833333333333336</v>
      </c>
      <c r="J9" s="14">
        <f>(304/J8)*100</f>
        <v>54.382826475849733</v>
      </c>
      <c r="K9" s="14">
        <f>(356/K8)*100</f>
        <v>56.240126382306478</v>
      </c>
      <c r="L9" s="17">
        <f>AVERAGE(C9:K9)</f>
        <v>54.744511357853227</v>
      </c>
      <c r="M9" s="17">
        <f>_xlfn.STDEV.S(C9:K9)</f>
        <v>4.3297599824651334</v>
      </c>
      <c r="N9" s="17">
        <f>(L9-(2.306*(M9/SQRT(9))))</f>
        <v>51.416369184665029</v>
      </c>
      <c r="O9" s="17">
        <f>(L9+(2.306*(M9/SQRT(9))))</f>
        <v>58.072653531041425</v>
      </c>
    </row>
    <row r="10" spans="1:19" x14ac:dyDescent="0.3">
      <c r="A10" s="100"/>
      <c r="B10" s="87" t="s">
        <v>120</v>
      </c>
      <c r="C10" s="14">
        <f>(237/C8)*100</f>
        <v>53.378378378378379</v>
      </c>
      <c r="D10" s="14">
        <f>(253/D8)*100</f>
        <v>48.560460652591168</v>
      </c>
      <c r="E10" s="14">
        <f>(212/E8)*100</f>
        <v>42.063492063492063</v>
      </c>
      <c r="F10" s="14">
        <f>(185/F8)*100</f>
        <v>37.909836065573771</v>
      </c>
      <c r="G10" s="14">
        <f>(251/G8)*100</f>
        <v>44.424778761061944</v>
      </c>
      <c r="H10" s="14">
        <f>(248/H8)*100</f>
        <v>47.418738049713191</v>
      </c>
      <c r="I10" s="14">
        <f>(265/I8)*100</f>
        <v>44.166666666666664</v>
      </c>
      <c r="J10" s="14">
        <f>(255/J8)*100</f>
        <v>45.617173524150267</v>
      </c>
      <c r="K10" s="14">
        <f>(277/K8)*100</f>
        <v>43.759873617693522</v>
      </c>
      <c r="L10" s="17">
        <f t="shared" ref="L10" si="0">AVERAGE(C10:K10)</f>
        <v>45.255488642146773</v>
      </c>
      <c r="M10" s="17">
        <f t="shared" ref="M10" si="1">_xlfn.STDEV.S(C10:K10)</f>
        <v>4.3297599824651307</v>
      </c>
      <c r="N10" s="17">
        <f t="shared" ref="N10" si="2">(L10-(2.306*(M10/SQRT(9))))</f>
        <v>41.927346468958575</v>
      </c>
      <c r="O10" s="17">
        <f t="shared" ref="O10" si="3">(L10+(2.306*(M10/SQRT(9))))</f>
        <v>48.583630815334971</v>
      </c>
    </row>
    <row r="13" spans="1:19" x14ac:dyDescent="0.3">
      <c r="S13" s="8"/>
    </row>
    <row r="14" spans="1:19" x14ac:dyDescent="0.3">
      <c r="S14" s="8"/>
    </row>
    <row r="20" spans="1:1" x14ac:dyDescent="0.3">
      <c r="A20">
        <v>0</v>
      </c>
    </row>
  </sheetData>
  <mergeCells count="4">
    <mergeCell ref="C6:K6"/>
    <mergeCell ref="L6:M6"/>
    <mergeCell ref="N6:O6"/>
    <mergeCell ref="A8:A1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A35" sqref="A35"/>
    </sheetView>
  </sheetViews>
  <sheetFormatPr defaultColWidth="11.5546875" defaultRowHeight="15.6" x14ac:dyDescent="0.3"/>
  <cols>
    <col min="1" max="1" width="121.33203125" customWidth="1"/>
  </cols>
  <sheetData>
    <row r="1" spans="1:1" x14ac:dyDescent="0.3">
      <c r="A1" s="43" t="s">
        <v>84</v>
      </c>
    </row>
    <row r="2" spans="1:1" x14ac:dyDescent="0.3">
      <c r="A2" s="38" t="s">
        <v>80</v>
      </c>
    </row>
    <row r="3" spans="1:1" x14ac:dyDescent="0.3">
      <c r="A3" s="39" t="s">
        <v>109</v>
      </c>
    </row>
    <row r="4" spans="1:1" x14ac:dyDescent="0.3">
      <c r="A4" s="40" t="s">
        <v>101</v>
      </c>
    </row>
    <row r="5" spans="1:1" x14ac:dyDescent="0.3">
      <c r="A5" s="40" t="s">
        <v>102</v>
      </c>
    </row>
    <row r="6" spans="1:1" x14ac:dyDescent="0.3">
      <c r="A6" s="40" t="s">
        <v>110</v>
      </c>
    </row>
    <row r="7" spans="1:1" x14ac:dyDescent="0.3">
      <c r="A7" s="40" t="s">
        <v>85</v>
      </c>
    </row>
    <row r="9" spans="1:1" x14ac:dyDescent="0.3">
      <c r="A9" s="88" t="s">
        <v>126</v>
      </c>
    </row>
    <row r="10" spans="1:1" x14ac:dyDescent="0.3">
      <c r="A10" s="39" t="s">
        <v>96</v>
      </c>
    </row>
    <row r="11" spans="1:1" x14ac:dyDescent="0.3">
      <c r="A11" s="40" t="s">
        <v>86</v>
      </c>
    </row>
    <row r="12" spans="1:1" ht="31.2" x14ac:dyDescent="0.3">
      <c r="A12" s="40" t="s">
        <v>103</v>
      </c>
    </row>
    <row r="13" spans="1:1" ht="31.2" x14ac:dyDescent="0.3">
      <c r="A13" s="89" t="s">
        <v>105</v>
      </c>
    </row>
    <row r="14" spans="1:1" ht="31.2" x14ac:dyDescent="0.3">
      <c r="A14" s="89" t="s">
        <v>104</v>
      </c>
    </row>
    <row r="15" spans="1:1" ht="31.2" x14ac:dyDescent="0.3">
      <c r="A15" s="40" t="s">
        <v>97</v>
      </c>
    </row>
    <row r="16" spans="1:1" x14ac:dyDescent="0.3">
      <c r="A16" s="40" t="s">
        <v>87</v>
      </c>
    </row>
    <row r="17" spans="1:1" x14ac:dyDescent="0.3">
      <c r="A17" s="40" t="s">
        <v>98</v>
      </c>
    </row>
    <row r="18" spans="1:1" x14ac:dyDescent="0.3">
      <c r="A18" s="40" t="s">
        <v>111</v>
      </c>
    </row>
    <row r="19" spans="1:1" x14ac:dyDescent="0.3">
      <c r="A19" s="40" t="s">
        <v>106</v>
      </c>
    </row>
    <row r="20" spans="1:1" x14ac:dyDescent="0.3">
      <c r="A20" s="40" t="s">
        <v>112</v>
      </c>
    </row>
    <row r="21" spans="1:1" x14ac:dyDescent="0.3">
      <c r="A21" s="40" t="s">
        <v>88</v>
      </c>
    </row>
    <row r="22" spans="1:1" x14ac:dyDescent="0.3">
      <c r="A22" s="40" t="s">
        <v>99</v>
      </c>
    </row>
    <row r="24" spans="1:1" x14ac:dyDescent="0.3">
      <c r="A24" s="88" t="s">
        <v>125</v>
      </c>
    </row>
    <row r="25" spans="1:1" x14ac:dyDescent="0.3">
      <c r="A25" s="42" t="s">
        <v>107</v>
      </c>
    </row>
    <row r="26" spans="1:1" x14ac:dyDescent="0.3">
      <c r="A26" s="41" t="s">
        <v>89</v>
      </c>
    </row>
    <row r="27" spans="1:1" x14ac:dyDescent="0.3">
      <c r="A27" s="41" t="s">
        <v>100</v>
      </c>
    </row>
    <row r="28" spans="1:1" x14ac:dyDescent="0.3">
      <c r="A28" s="41" t="s">
        <v>90</v>
      </c>
    </row>
    <row r="29" spans="1:1" x14ac:dyDescent="0.3">
      <c r="A29" s="41" t="s">
        <v>91</v>
      </c>
    </row>
    <row r="30" spans="1:1" x14ac:dyDescent="0.3">
      <c r="A30" s="41" t="s">
        <v>95</v>
      </c>
    </row>
    <row r="31" spans="1:1" x14ac:dyDescent="0.3">
      <c r="A31" s="41" t="s">
        <v>92</v>
      </c>
    </row>
    <row r="32" spans="1:1" x14ac:dyDescent="0.3">
      <c r="A32" s="41" t="s">
        <v>93</v>
      </c>
    </row>
    <row r="33" spans="1:1" x14ac:dyDescent="0.3">
      <c r="A33" s="41" t="s">
        <v>113</v>
      </c>
    </row>
    <row r="34" spans="1:1" x14ac:dyDescent="0.3">
      <c r="A34" s="41" t="s">
        <v>94</v>
      </c>
    </row>
    <row r="35" spans="1:1" x14ac:dyDescent="0.3">
      <c r="A35" s="90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="80" zoomScaleNormal="80" workbookViewId="0">
      <selection activeCell="R8" sqref="R8"/>
    </sheetView>
  </sheetViews>
  <sheetFormatPr defaultColWidth="9.109375" defaultRowHeight="15.6" x14ac:dyDescent="0.3"/>
  <cols>
    <col min="2" max="2" width="21.33203125" bestFit="1" customWidth="1"/>
  </cols>
  <sheetData>
    <row r="1" spans="1:15" x14ac:dyDescent="0.3">
      <c r="A1" s="4" t="s">
        <v>17</v>
      </c>
    </row>
    <row r="2" spans="1:15" x14ac:dyDescent="0.3">
      <c r="A2" s="4" t="s">
        <v>127</v>
      </c>
    </row>
    <row r="3" spans="1:15" x14ac:dyDescent="0.3">
      <c r="A3" s="4" t="s">
        <v>19</v>
      </c>
    </row>
    <row r="4" spans="1:15" x14ac:dyDescent="0.3">
      <c r="A4" s="4" t="s">
        <v>122</v>
      </c>
      <c r="I4" s="8"/>
    </row>
    <row r="6" spans="1:15" x14ac:dyDescent="0.3">
      <c r="C6" s="94" t="s">
        <v>10</v>
      </c>
      <c r="D6" s="95"/>
      <c r="E6" s="95"/>
      <c r="F6" s="95"/>
      <c r="G6" s="95"/>
      <c r="H6" s="95"/>
      <c r="I6" s="95"/>
      <c r="J6" s="95"/>
      <c r="K6" s="96"/>
      <c r="L6" s="97" t="s">
        <v>13</v>
      </c>
      <c r="M6" s="97"/>
      <c r="N6" s="98" t="s">
        <v>81</v>
      </c>
      <c r="O6" s="99"/>
    </row>
    <row r="7" spans="1:15" x14ac:dyDescent="0.3">
      <c r="A7" s="1" t="s">
        <v>18</v>
      </c>
      <c r="B7" s="1" t="s">
        <v>0</v>
      </c>
      <c r="C7" s="2">
        <v>2004</v>
      </c>
      <c r="D7" s="3">
        <v>2005</v>
      </c>
      <c r="E7" s="3">
        <v>2006</v>
      </c>
      <c r="F7" s="3">
        <v>2007</v>
      </c>
      <c r="G7" s="3">
        <v>2008</v>
      </c>
      <c r="H7" s="3">
        <v>2009</v>
      </c>
      <c r="I7" s="3">
        <v>2010</v>
      </c>
      <c r="J7" s="3">
        <v>2011</v>
      </c>
      <c r="K7" s="3">
        <v>2012</v>
      </c>
      <c r="L7" s="3" t="s">
        <v>11</v>
      </c>
      <c r="M7" s="3" t="s">
        <v>12</v>
      </c>
      <c r="N7" s="3" t="s">
        <v>78</v>
      </c>
      <c r="O7" s="3" t="s">
        <v>79</v>
      </c>
    </row>
    <row r="8" spans="1:15" x14ac:dyDescent="0.3">
      <c r="A8" s="101" t="s">
        <v>1</v>
      </c>
      <c r="B8" s="18" t="s">
        <v>4</v>
      </c>
      <c r="C8" s="19">
        <v>81</v>
      </c>
      <c r="D8" s="19">
        <v>79</v>
      </c>
      <c r="E8" s="19">
        <v>81</v>
      </c>
      <c r="F8" s="19">
        <v>78</v>
      </c>
      <c r="G8" s="19">
        <v>81</v>
      </c>
      <c r="H8" s="19">
        <v>81</v>
      </c>
      <c r="I8" s="19">
        <v>81</v>
      </c>
      <c r="J8" s="19">
        <v>77</v>
      </c>
      <c r="K8" s="19">
        <v>81</v>
      </c>
      <c r="L8" s="20">
        <f>AVERAGE(C8:K8)</f>
        <v>80</v>
      </c>
      <c r="M8" s="20">
        <f>_xlfn.STDEV.S(C8:K8)</f>
        <v>1.5811388300841898</v>
      </c>
      <c r="N8" s="20">
        <f>(L8-(2.306*(M8/SQRT(9))))</f>
        <v>78.784631285941956</v>
      </c>
      <c r="O8" s="20">
        <f>(L8+(2.306*(M8/SQRT(9))))</f>
        <v>81.215368714058044</v>
      </c>
    </row>
    <row r="9" spans="1:15" x14ac:dyDescent="0.3">
      <c r="A9" s="102"/>
      <c r="B9" s="18" t="s">
        <v>5</v>
      </c>
      <c r="C9" s="19">
        <v>73</v>
      </c>
      <c r="D9" s="19">
        <v>73</v>
      </c>
      <c r="E9" s="19">
        <v>70</v>
      </c>
      <c r="F9" s="19">
        <v>66</v>
      </c>
      <c r="G9" s="19">
        <v>70</v>
      </c>
      <c r="H9" s="19">
        <v>72</v>
      </c>
      <c r="I9" s="19">
        <v>73</v>
      </c>
      <c r="J9" s="19">
        <v>71</v>
      </c>
      <c r="K9" s="19" t="s">
        <v>7</v>
      </c>
      <c r="L9" s="20">
        <f t="shared" ref="L9:L25" si="0">AVERAGE(C9:K9)</f>
        <v>71</v>
      </c>
      <c r="M9" s="20">
        <f t="shared" ref="M9:M22" si="1">_xlfn.STDEV.S(C9:K9)</f>
        <v>2.3904572186687871</v>
      </c>
      <c r="N9" s="20">
        <f t="shared" ref="N9:N25" si="2">(L9-(2.306*(M9/SQRT(9))))</f>
        <v>69.162535217916599</v>
      </c>
      <c r="O9" s="20">
        <f t="shared" ref="O9:O25" si="3">(L9+(2.306*(M9/SQRT(9))))</f>
        <v>72.837464782083401</v>
      </c>
    </row>
    <row r="10" spans="1:15" x14ac:dyDescent="0.3">
      <c r="A10" s="102"/>
      <c r="B10" s="18" t="s">
        <v>20</v>
      </c>
      <c r="C10" s="19">
        <v>71</v>
      </c>
      <c r="D10" s="19">
        <v>69</v>
      </c>
      <c r="E10" s="19">
        <v>66</v>
      </c>
      <c r="F10" s="19">
        <v>60</v>
      </c>
      <c r="G10" s="19">
        <v>61</v>
      </c>
      <c r="H10" s="19">
        <v>64</v>
      </c>
      <c r="I10" s="19">
        <v>69</v>
      </c>
      <c r="J10" s="19" t="s">
        <v>7</v>
      </c>
      <c r="K10" s="19" t="s">
        <v>7</v>
      </c>
      <c r="L10" s="20">
        <f t="shared" si="0"/>
        <v>65.714285714285708</v>
      </c>
      <c r="M10" s="20">
        <f t="shared" si="1"/>
        <v>4.2314018840996308</v>
      </c>
      <c r="N10" s="20">
        <f t="shared" si="2"/>
        <v>62.46174813270779</v>
      </c>
      <c r="O10" s="20">
        <f t="shared" si="3"/>
        <v>68.96682329586362</v>
      </c>
    </row>
    <row r="11" spans="1:15" x14ac:dyDescent="0.3">
      <c r="A11" s="102"/>
      <c r="B11" s="18" t="s">
        <v>8</v>
      </c>
      <c r="C11" s="19">
        <v>52</v>
      </c>
      <c r="D11" s="19">
        <v>49</v>
      </c>
      <c r="E11" s="19">
        <v>49</v>
      </c>
      <c r="F11" s="19">
        <v>40</v>
      </c>
      <c r="G11" s="19">
        <v>45</v>
      </c>
      <c r="H11" s="19">
        <v>51</v>
      </c>
      <c r="I11" s="21">
        <v>3</v>
      </c>
      <c r="J11" s="21">
        <v>1</v>
      </c>
      <c r="K11" s="19" t="s">
        <v>7</v>
      </c>
      <c r="L11" s="20">
        <f>AVERAGE(C11:H11)</f>
        <v>47.666666666666664</v>
      </c>
      <c r="M11" s="20">
        <f>_xlfn.STDEV.S(C11:H11)</f>
        <v>4.457203906785808</v>
      </c>
      <c r="N11" s="20">
        <f t="shared" si="2"/>
        <v>44.24056259698397</v>
      </c>
      <c r="O11" s="20">
        <f t="shared" si="3"/>
        <v>51.092770736349358</v>
      </c>
    </row>
    <row r="12" spans="1:15" x14ac:dyDescent="0.3">
      <c r="A12" s="102"/>
      <c r="B12" s="18" t="s">
        <v>9</v>
      </c>
      <c r="C12" s="19">
        <v>62</v>
      </c>
      <c r="D12" s="19">
        <v>56</v>
      </c>
      <c r="E12" s="19">
        <v>56</v>
      </c>
      <c r="F12" s="19">
        <v>51</v>
      </c>
      <c r="G12" s="19">
        <v>55</v>
      </c>
      <c r="H12" s="19" t="s">
        <v>7</v>
      </c>
      <c r="I12" s="19" t="s">
        <v>7</v>
      </c>
      <c r="J12" s="19" t="s">
        <v>7</v>
      </c>
      <c r="K12" s="19" t="s">
        <v>7</v>
      </c>
      <c r="L12" s="20">
        <f t="shared" si="0"/>
        <v>56</v>
      </c>
      <c r="M12" s="20">
        <f t="shared" si="1"/>
        <v>3.9370039370059056</v>
      </c>
      <c r="N12" s="20">
        <f t="shared" si="2"/>
        <v>52.973756307088124</v>
      </c>
      <c r="O12" s="20">
        <f t="shared" si="3"/>
        <v>59.026243692911876</v>
      </c>
    </row>
    <row r="13" spans="1:15" x14ac:dyDescent="0.3">
      <c r="A13" s="103"/>
      <c r="B13" s="18" t="s">
        <v>6</v>
      </c>
      <c r="C13" s="19">
        <v>65</v>
      </c>
      <c r="D13" s="19">
        <v>59</v>
      </c>
      <c r="E13" s="19">
        <v>59</v>
      </c>
      <c r="F13" s="19">
        <v>52</v>
      </c>
      <c r="G13" s="19" t="s">
        <v>7</v>
      </c>
      <c r="H13" s="19" t="s">
        <v>7</v>
      </c>
      <c r="I13" s="19" t="s">
        <v>7</v>
      </c>
      <c r="J13" s="19" t="s">
        <v>7</v>
      </c>
      <c r="K13" s="19" t="s">
        <v>7</v>
      </c>
      <c r="L13" s="20">
        <f t="shared" si="0"/>
        <v>58.75</v>
      </c>
      <c r="M13" s="20">
        <f t="shared" si="1"/>
        <v>5.315072906367325</v>
      </c>
      <c r="N13" s="20">
        <f t="shared" si="2"/>
        <v>54.664480625972317</v>
      </c>
      <c r="O13" s="20">
        <f t="shared" si="3"/>
        <v>62.835519374027683</v>
      </c>
    </row>
    <row r="14" spans="1:15" x14ac:dyDescent="0.3">
      <c r="A14" s="104" t="s">
        <v>3</v>
      </c>
      <c r="B14" s="22" t="s">
        <v>4</v>
      </c>
      <c r="C14" s="23">
        <v>86</v>
      </c>
      <c r="D14" s="23">
        <v>88</v>
      </c>
      <c r="E14" s="23">
        <v>83</v>
      </c>
      <c r="F14" s="23">
        <v>84</v>
      </c>
      <c r="G14" s="23">
        <v>85</v>
      </c>
      <c r="H14" s="23">
        <v>88</v>
      </c>
      <c r="I14" s="23">
        <v>84</v>
      </c>
      <c r="J14" s="23">
        <v>81</v>
      </c>
      <c r="K14" s="23">
        <v>84</v>
      </c>
      <c r="L14" s="24">
        <f t="shared" si="0"/>
        <v>84.777777777777771</v>
      </c>
      <c r="M14" s="24">
        <f t="shared" si="1"/>
        <v>2.2791323885295571</v>
      </c>
      <c r="N14" s="24">
        <f t="shared" si="2"/>
        <v>83.025884681794722</v>
      </c>
      <c r="O14" s="24">
        <f t="shared" si="3"/>
        <v>86.529670873760821</v>
      </c>
    </row>
    <row r="15" spans="1:15" x14ac:dyDescent="0.3">
      <c r="A15" s="105"/>
      <c r="B15" s="22" t="s">
        <v>5</v>
      </c>
      <c r="C15" s="23">
        <v>77</v>
      </c>
      <c r="D15" s="23">
        <v>84</v>
      </c>
      <c r="E15" s="23">
        <v>81</v>
      </c>
      <c r="F15" s="23">
        <v>80</v>
      </c>
      <c r="G15" s="23">
        <v>79</v>
      </c>
      <c r="H15" s="23">
        <v>76</v>
      </c>
      <c r="I15" s="23">
        <v>77</v>
      </c>
      <c r="J15" s="23">
        <v>75</v>
      </c>
      <c r="K15" s="23" t="s">
        <v>7</v>
      </c>
      <c r="L15" s="24">
        <f t="shared" si="0"/>
        <v>78.625</v>
      </c>
      <c r="M15" s="24">
        <f t="shared" si="1"/>
        <v>2.9730936268953445</v>
      </c>
      <c r="N15" s="24">
        <f t="shared" si="2"/>
        <v>76.339682032126447</v>
      </c>
      <c r="O15" s="24">
        <f t="shared" si="3"/>
        <v>80.910317967873553</v>
      </c>
    </row>
    <row r="16" spans="1:15" x14ac:dyDescent="0.3">
      <c r="A16" s="105"/>
      <c r="B16" s="22" t="s">
        <v>20</v>
      </c>
      <c r="C16" s="23">
        <v>67</v>
      </c>
      <c r="D16" s="23">
        <v>80</v>
      </c>
      <c r="E16" s="23">
        <v>70</v>
      </c>
      <c r="F16" s="23">
        <v>80</v>
      </c>
      <c r="G16" s="23">
        <v>80</v>
      </c>
      <c r="H16" s="23">
        <v>69</v>
      </c>
      <c r="I16" s="23">
        <v>69</v>
      </c>
      <c r="J16" s="23" t="s">
        <v>7</v>
      </c>
      <c r="K16" s="23" t="s">
        <v>7</v>
      </c>
      <c r="L16" s="24">
        <f t="shared" si="0"/>
        <v>73.571428571428569</v>
      </c>
      <c r="M16" s="24">
        <f t="shared" si="1"/>
        <v>6.0788470084696931</v>
      </c>
      <c r="N16" s="24">
        <f t="shared" si="2"/>
        <v>68.898821504251529</v>
      </c>
      <c r="O16" s="24">
        <f t="shared" si="3"/>
        <v>78.24403563860561</v>
      </c>
    </row>
    <row r="17" spans="1:15" x14ac:dyDescent="0.3">
      <c r="A17" s="105"/>
      <c r="B17" s="22" t="s">
        <v>8</v>
      </c>
      <c r="C17" s="23">
        <v>48</v>
      </c>
      <c r="D17" s="23">
        <v>55</v>
      </c>
      <c r="E17" s="23">
        <v>48</v>
      </c>
      <c r="F17" s="23">
        <v>57</v>
      </c>
      <c r="G17" s="23">
        <v>65</v>
      </c>
      <c r="H17" s="23">
        <v>51</v>
      </c>
      <c r="I17" s="25">
        <v>1</v>
      </c>
      <c r="J17" s="23" t="s">
        <v>7</v>
      </c>
      <c r="K17" s="23" t="s">
        <v>7</v>
      </c>
      <c r="L17" s="24">
        <f>AVERAGE(C17:H17)</f>
        <v>54</v>
      </c>
      <c r="M17" s="24">
        <f>_xlfn.STDEV.S(C17:H17)</f>
        <v>6.5115282384398823</v>
      </c>
      <c r="N17" s="24">
        <f t="shared" si="2"/>
        <v>48.99480529405254</v>
      </c>
      <c r="O17" s="24">
        <f t="shared" si="3"/>
        <v>59.00519470594746</v>
      </c>
    </row>
    <row r="18" spans="1:15" x14ac:dyDescent="0.3">
      <c r="A18" s="105"/>
      <c r="B18" s="22" t="s">
        <v>9</v>
      </c>
      <c r="C18" s="23">
        <v>59</v>
      </c>
      <c r="D18" s="23">
        <v>67</v>
      </c>
      <c r="E18" s="23">
        <v>59</v>
      </c>
      <c r="F18" s="23">
        <v>65</v>
      </c>
      <c r="G18" s="23">
        <v>72</v>
      </c>
      <c r="H18" s="23" t="s">
        <v>7</v>
      </c>
      <c r="I18" s="23" t="s">
        <v>7</v>
      </c>
      <c r="J18" s="23" t="s">
        <v>7</v>
      </c>
      <c r="K18" s="23" t="s">
        <v>7</v>
      </c>
      <c r="L18" s="24">
        <f t="shared" si="0"/>
        <v>64.400000000000006</v>
      </c>
      <c r="M18" s="24">
        <f t="shared" si="1"/>
        <v>5.5497747702046434</v>
      </c>
      <c r="N18" s="24">
        <f t="shared" si="2"/>
        <v>60.134073126636039</v>
      </c>
      <c r="O18" s="24">
        <f t="shared" si="3"/>
        <v>68.665926873363972</v>
      </c>
    </row>
    <row r="19" spans="1:15" x14ac:dyDescent="0.3">
      <c r="A19" s="106"/>
      <c r="B19" s="22" t="s">
        <v>6</v>
      </c>
      <c r="C19" s="23">
        <v>62</v>
      </c>
      <c r="D19" s="23">
        <v>70</v>
      </c>
      <c r="E19" s="23">
        <v>61</v>
      </c>
      <c r="F19" s="23" t="s">
        <v>7</v>
      </c>
      <c r="G19" s="23" t="s">
        <v>7</v>
      </c>
      <c r="H19" s="23" t="s">
        <v>7</v>
      </c>
      <c r="I19" s="23" t="s">
        <v>7</v>
      </c>
      <c r="J19" s="23" t="s">
        <v>7</v>
      </c>
      <c r="K19" s="23" t="s">
        <v>7</v>
      </c>
      <c r="L19" s="24">
        <f t="shared" si="0"/>
        <v>64.333333333333329</v>
      </c>
      <c r="M19" s="24">
        <f t="shared" si="1"/>
        <v>4.9328828623162471</v>
      </c>
      <c r="N19" s="24">
        <f t="shared" si="2"/>
        <v>60.541590706499576</v>
      </c>
      <c r="O19" s="24">
        <f t="shared" si="3"/>
        <v>68.125075960167081</v>
      </c>
    </row>
    <row r="20" spans="1:15" x14ac:dyDescent="0.3">
      <c r="A20" s="107" t="s">
        <v>2</v>
      </c>
      <c r="B20" s="26" t="s">
        <v>4</v>
      </c>
      <c r="C20" s="27">
        <v>80</v>
      </c>
      <c r="D20" s="27">
        <v>89</v>
      </c>
      <c r="E20" s="27">
        <v>80</v>
      </c>
      <c r="F20" s="27">
        <v>84</v>
      </c>
      <c r="G20" s="27">
        <v>84</v>
      </c>
      <c r="H20" s="27">
        <v>84</v>
      </c>
      <c r="I20" s="27">
        <v>83</v>
      </c>
      <c r="J20" s="27">
        <v>85</v>
      </c>
      <c r="K20" s="27">
        <v>86</v>
      </c>
      <c r="L20" s="28">
        <f t="shared" si="0"/>
        <v>83.888888888888886</v>
      </c>
      <c r="M20" s="28">
        <f t="shared" si="1"/>
        <v>2.8037673068767872</v>
      </c>
      <c r="N20" s="28">
        <f t="shared" si="2"/>
        <v>81.733726419002934</v>
      </c>
      <c r="O20" s="28">
        <f t="shared" si="3"/>
        <v>86.044051358774837</v>
      </c>
    </row>
    <row r="21" spans="1:15" x14ac:dyDescent="0.3">
      <c r="A21" s="108"/>
      <c r="B21" s="26" t="s">
        <v>5</v>
      </c>
      <c r="C21" s="27">
        <v>78</v>
      </c>
      <c r="D21" s="27">
        <v>82</v>
      </c>
      <c r="E21" s="27">
        <v>74</v>
      </c>
      <c r="F21" s="27">
        <v>76</v>
      </c>
      <c r="G21" s="27">
        <v>78</v>
      </c>
      <c r="H21" s="27">
        <v>76</v>
      </c>
      <c r="I21" s="27">
        <v>74</v>
      </c>
      <c r="J21" s="27">
        <v>76</v>
      </c>
      <c r="K21" s="27" t="s">
        <v>7</v>
      </c>
      <c r="L21" s="28">
        <f t="shared" si="0"/>
        <v>76.75</v>
      </c>
      <c r="M21" s="28">
        <f t="shared" si="1"/>
        <v>2.6049403612586386</v>
      </c>
      <c r="N21" s="28">
        <f t="shared" si="2"/>
        <v>74.747669175645854</v>
      </c>
      <c r="O21" s="28">
        <f t="shared" si="3"/>
        <v>78.752330824354146</v>
      </c>
    </row>
    <row r="22" spans="1:15" x14ac:dyDescent="0.3">
      <c r="A22" s="108"/>
      <c r="B22" s="26" t="s">
        <v>20</v>
      </c>
      <c r="C22" s="27">
        <v>74</v>
      </c>
      <c r="D22" s="27">
        <v>78</v>
      </c>
      <c r="E22" s="27">
        <v>70</v>
      </c>
      <c r="F22" s="27">
        <v>70</v>
      </c>
      <c r="G22" s="27">
        <v>76</v>
      </c>
      <c r="H22" s="27">
        <v>70</v>
      </c>
      <c r="I22" s="27">
        <v>68</v>
      </c>
      <c r="J22" s="27" t="s">
        <v>7</v>
      </c>
      <c r="K22" s="27" t="s">
        <v>7</v>
      </c>
      <c r="L22" s="28">
        <f t="shared" si="0"/>
        <v>72.285714285714292</v>
      </c>
      <c r="M22" s="28">
        <f t="shared" si="1"/>
        <v>3.7289089429432174</v>
      </c>
      <c r="N22" s="28">
        <f t="shared" si="2"/>
        <v>69.419426278238603</v>
      </c>
      <c r="O22" s="28">
        <f t="shared" si="3"/>
        <v>75.15200229318998</v>
      </c>
    </row>
    <row r="23" spans="1:15" x14ac:dyDescent="0.3">
      <c r="A23" s="108"/>
      <c r="B23" s="26" t="s">
        <v>8</v>
      </c>
      <c r="C23" s="27">
        <v>57</v>
      </c>
      <c r="D23" s="27">
        <v>63</v>
      </c>
      <c r="E23" s="27">
        <v>51</v>
      </c>
      <c r="F23" s="27">
        <v>52</v>
      </c>
      <c r="G23" s="27">
        <v>59</v>
      </c>
      <c r="H23" s="27">
        <v>50</v>
      </c>
      <c r="I23" s="29">
        <v>3</v>
      </c>
      <c r="J23" s="29">
        <v>1</v>
      </c>
      <c r="K23" s="27" t="s">
        <v>7</v>
      </c>
      <c r="L23" s="28">
        <f>AVERAGE(C23:H23)</f>
        <v>55.333333333333336</v>
      </c>
      <c r="M23" s="28">
        <f>_xlfn.STDEV.S(C23:H23)</f>
        <v>5.1639777949432224</v>
      </c>
      <c r="N23" s="28">
        <f t="shared" si="2"/>
        <v>51.363955734953649</v>
      </c>
      <c r="O23" s="28">
        <f t="shared" si="3"/>
        <v>59.302710931713023</v>
      </c>
    </row>
    <row r="24" spans="1:15" x14ac:dyDescent="0.3">
      <c r="A24" s="108"/>
      <c r="B24" s="26" t="s">
        <v>9</v>
      </c>
      <c r="C24" s="27">
        <v>64</v>
      </c>
      <c r="D24" s="27">
        <v>73</v>
      </c>
      <c r="E24" s="27">
        <v>59</v>
      </c>
      <c r="F24" s="27">
        <v>60</v>
      </c>
      <c r="G24" s="27">
        <v>68</v>
      </c>
      <c r="H24" s="27" t="s">
        <v>7</v>
      </c>
      <c r="I24" s="27" t="s">
        <v>7</v>
      </c>
      <c r="J24" s="27" t="s">
        <v>7</v>
      </c>
      <c r="K24" s="27" t="s">
        <v>7</v>
      </c>
      <c r="L24" s="28">
        <f t="shared" si="0"/>
        <v>64.8</v>
      </c>
      <c r="M24" s="28">
        <f>_xlfn.STDEV.S(C24:J24)</f>
        <v>5.805170109479997</v>
      </c>
      <c r="N24" s="28">
        <f t="shared" si="2"/>
        <v>60.337759242513037</v>
      </c>
      <c r="O24" s="28">
        <f t="shared" si="3"/>
        <v>69.26224075748695</v>
      </c>
    </row>
    <row r="25" spans="1:15" x14ac:dyDescent="0.3">
      <c r="A25" s="109"/>
      <c r="B25" s="26" t="s">
        <v>6</v>
      </c>
      <c r="C25" s="27">
        <v>66</v>
      </c>
      <c r="D25" s="27">
        <v>74</v>
      </c>
      <c r="E25" s="27">
        <v>65</v>
      </c>
      <c r="F25" s="27">
        <v>62</v>
      </c>
      <c r="G25" s="27" t="s">
        <v>7</v>
      </c>
      <c r="H25" s="27" t="s">
        <v>7</v>
      </c>
      <c r="I25" s="27" t="s">
        <v>7</v>
      </c>
      <c r="J25" s="27" t="s">
        <v>7</v>
      </c>
      <c r="K25" s="27" t="s">
        <v>7</v>
      </c>
      <c r="L25" s="28">
        <f t="shared" si="0"/>
        <v>66.75</v>
      </c>
      <c r="M25" s="28">
        <f>_xlfn.STDEV.S(C25:J25)</f>
        <v>5.123475382979799</v>
      </c>
      <c r="N25" s="28">
        <f t="shared" si="2"/>
        <v>62.811755255616191</v>
      </c>
      <c r="O25" s="28">
        <f t="shared" si="3"/>
        <v>70.688244744383809</v>
      </c>
    </row>
    <row r="27" spans="1:15" x14ac:dyDescent="0.3">
      <c r="A27" s="6" t="s">
        <v>25</v>
      </c>
    </row>
  </sheetData>
  <mergeCells count="6">
    <mergeCell ref="N6:O6"/>
    <mergeCell ref="A8:A13"/>
    <mergeCell ref="A14:A19"/>
    <mergeCell ref="A20:A25"/>
    <mergeCell ref="L6:M6"/>
    <mergeCell ref="C6:K6"/>
  </mergeCells>
  <pageMargins left="0.7" right="0.7" top="0.75" bottom="0.75" header="0.3" footer="0.3"/>
  <pageSetup scale="6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zoomScale="80" zoomScaleNormal="80" workbookViewId="0">
      <selection activeCell="Q6" sqref="Q6"/>
    </sheetView>
  </sheetViews>
  <sheetFormatPr defaultColWidth="9.109375" defaultRowHeight="15.6" x14ac:dyDescent="0.3"/>
  <cols>
    <col min="2" max="2" width="23.109375" bestFit="1" customWidth="1"/>
  </cols>
  <sheetData>
    <row r="1" spans="1:15" x14ac:dyDescent="0.3">
      <c r="A1" s="4" t="s">
        <v>17</v>
      </c>
    </row>
    <row r="2" spans="1:15" x14ac:dyDescent="0.3">
      <c r="A2" s="4" t="s">
        <v>128</v>
      </c>
    </row>
    <row r="3" spans="1:15" x14ac:dyDescent="0.3">
      <c r="A3" s="4" t="s">
        <v>19</v>
      </c>
    </row>
    <row r="4" spans="1:15" x14ac:dyDescent="0.3">
      <c r="A4" s="4" t="s">
        <v>122</v>
      </c>
      <c r="I4" s="8"/>
    </row>
    <row r="6" spans="1:15" x14ac:dyDescent="0.3">
      <c r="C6" s="94" t="s">
        <v>10</v>
      </c>
      <c r="D6" s="95"/>
      <c r="E6" s="95"/>
      <c r="F6" s="95"/>
      <c r="G6" s="95"/>
      <c r="H6" s="95"/>
      <c r="I6" s="95"/>
      <c r="J6" s="95"/>
      <c r="K6" s="96"/>
      <c r="L6" s="97" t="s">
        <v>13</v>
      </c>
      <c r="M6" s="97"/>
      <c r="N6" s="98" t="s">
        <v>81</v>
      </c>
      <c r="O6" s="99"/>
    </row>
    <row r="7" spans="1:15" x14ac:dyDescent="0.3">
      <c r="A7" s="1" t="s">
        <v>18</v>
      </c>
      <c r="B7" s="1" t="s">
        <v>0</v>
      </c>
      <c r="C7" s="2">
        <v>2004</v>
      </c>
      <c r="D7" s="3">
        <v>2005</v>
      </c>
      <c r="E7" s="3">
        <v>2006</v>
      </c>
      <c r="F7" s="3">
        <v>2007</v>
      </c>
      <c r="G7" s="3">
        <v>2008</v>
      </c>
      <c r="H7" s="3">
        <v>2009</v>
      </c>
      <c r="I7" s="3">
        <v>2010</v>
      </c>
      <c r="J7" s="3">
        <v>2011</v>
      </c>
      <c r="K7" s="3">
        <v>2012</v>
      </c>
      <c r="L7" s="3" t="s">
        <v>11</v>
      </c>
      <c r="M7" s="3" t="s">
        <v>12</v>
      </c>
      <c r="N7" s="3" t="s">
        <v>78</v>
      </c>
      <c r="O7" s="3" t="s">
        <v>79</v>
      </c>
    </row>
    <row r="8" spans="1:15" x14ac:dyDescent="0.3">
      <c r="A8" s="101" t="s">
        <v>1</v>
      </c>
      <c r="B8" s="30" t="s">
        <v>114</v>
      </c>
      <c r="C8" s="19">
        <f>235</f>
        <v>235</v>
      </c>
      <c r="D8" s="19">
        <f>271</f>
        <v>271</v>
      </c>
      <c r="E8" s="19">
        <f>223</f>
        <v>223</v>
      </c>
      <c r="F8" s="19">
        <f>183</f>
        <v>183</v>
      </c>
      <c r="G8" s="19">
        <f>198</f>
        <v>198</v>
      </c>
      <c r="H8" s="19">
        <f>181</f>
        <v>181</v>
      </c>
      <c r="I8" s="19">
        <f>245</f>
        <v>245</v>
      </c>
      <c r="J8" s="19">
        <f>210</f>
        <v>210</v>
      </c>
      <c r="K8" s="19">
        <f>237</f>
        <v>237</v>
      </c>
      <c r="L8" s="20">
        <f>AVERAGE(C8:K8)</f>
        <v>220.33333333333334</v>
      </c>
      <c r="M8" s="20">
        <f>_xlfn.STDEV.S(C8:K8)</f>
        <v>30.045798375147232</v>
      </c>
      <c r="N8" s="20">
        <f>(L8-(2.306*(M8/SQRT(9))))</f>
        <v>197.23812964897016</v>
      </c>
      <c r="O8" s="20">
        <f>(L8+(2.306*(M8/SQRT(9))))</f>
        <v>243.42853701769653</v>
      </c>
    </row>
    <row r="9" spans="1:15" x14ac:dyDescent="0.3">
      <c r="A9" s="102"/>
      <c r="B9" s="30" t="s">
        <v>117</v>
      </c>
      <c r="C9" s="83">
        <f>93/C8*100</f>
        <v>39.574468085106382</v>
      </c>
      <c r="D9" s="83">
        <f>106/D8*100</f>
        <v>39.114391143911433</v>
      </c>
      <c r="E9" s="83">
        <f>104/E8*100</f>
        <v>46.63677130044843</v>
      </c>
      <c r="F9" s="83">
        <f>89/F8*100</f>
        <v>48.633879781420767</v>
      </c>
      <c r="G9" s="83">
        <f>81/G8*100</f>
        <v>40.909090909090914</v>
      </c>
      <c r="H9" s="83">
        <f>70/H8*100</f>
        <v>38.674033149171272</v>
      </c>
      <c r="I9" s="19">
        <f>98/I8*100</f>
        <v>40</v>
      </c>
      <c r="J9" s="83">
        <f>90/J8*100</f>
        <v>42.857142857142854</v>
      </c>
      <c r="K9" s="83">
        <f>107/K8*100</f>
        <v>45.147679324894511</v>
      </c>
      <c r="L9" s="20">
        <f t="shared" ref="L9:L16" si="0">AVERAGE(C9:K9)</f>
        <v>42.394161839020725</v>
      </c>
      <c r="M9" s="20">
        <f t="shared" ref="M9:M16" si="1">_xlfn.STDEV.S(C9:K9)</f>
        <v>3.6265410127421513</v>
      </c>
      <c r="N9" s="20">
        <f t="shared" ref="N9:N16" si="2">(L9-(2.306*(M9/SQRT(9))))</f>
        <v>39.60656064722626</v>
      </c>
      <c r="O9" s="20">
        <f t="shared" ref="O9:O16" si="3">(L9+(2.306*(M9/SQRT(9))))</f>
        <v>45.181763030815191</v>
      </c>
    </row>
    <row r="10" spans="1:15" x14ac:dyDescent="0.3">
      <c r="A10" s="102"/>
      <c r="B10" s="30" t="s">
        <v>118</v>
      </c>
      <c r="C10" s="83">
        <f>142/C8*100</f>
        <v>60.425531914893618</v>
      </c>
      <c r="D10" s="83">
        <f>165/D8*100</f>
        <v>60.88560885608856</v>
      </c>
      <c r="E10" s="83">
        <f>119/E8*100</f>
        <v>53.36322869955157</v>
      </c>
      <c r="F10" s="83">
        <f>94/F8*100</f>
        <v>51.366120218579233</v>
      </c>
      <c r="G10" s="83">
        <f>117/G8*100</f>
        <v>59.090909090909093</v>
      </c>
      <c r="H10" s="83">
        <f>111/H8*100</f>
        <v>61.325966850828728</v>
      </c>
      <c r="I10" s="19">
        <f>147/I8*100</f>
        <v>60</v>
      </c>
      <c r="J10" s="83">
        <f>120/J8*100</f>
        <v>57.142857142857139</v>
      </c>
      <c r="K10" s="83">
        <f>130/K8*100</f>
        <v>54.852320675105481</v>
      </c>
      <c r="L10" s="20">
        <f t="shared" si="0"/>
        <v>57.605838160979275</v>
      </c>
      <c r="M10" s="20">
        <f t="shared" si="1"/>
        <v>3.6265410127421513</v>
      </c>
      <c r="N10" s="20">
        <f t="shared" si="2"/>
        <v>54.818236969184809</v>
      </c>
      <c r="O10" s="20">
        <f t="shared" si="3"/>
        <v>60.39343935277374</v>
      </c>
    </row>
    <row r="11" spans="1:15" x14ac:dyDescent="0.3">
      <c r="A11" s="104" t="s">
        <v>3</v>
      </c>
      <c r="B11" s="81" t="s">
        <v>115</v>
      </c>
      <c r="C11" s="23">
        <f>66</f>
        <v>66</v>
      </c>
      <c r="D11" s="23">
        <f>69</f>
        <v>69</v>
      </c>
      <c r="E11" s="23">
        <f>54</f>
        <v>54</v>
      </c>
      <c r="F11" s="23">
        <f>51</f>
        <v>51</v>
      </c>
      <c r="G11" s="23">
        <f>75</f>
        <v>75</v>
      </c>
      <c r="H11" s="23">
        <f>75</f>
        <v>75</v>
      </c>
      <c r="I11" s="23">
        <f>74</f>
        <v>74</v>
      </c>
      <c r="J11" s="23">
        <f>64</f>
        <v>64</v>
      </c>
      <c r="K11" s="23">
        <f>95</f>
        <v>95</v>
      </c>
      <c r="L11" s="24">
        <f t="shared" si="0"/>
        <v>69.222222222222229</v>
      </c>
      <c r="M11" s="24">
        <f t="shared" si="1"/>
        <v>13.017082793177753</v>
      </c>
      <c r="N11" s="24">
        <f t="shared" si="2"/>
        <v>59.216424581866264</v>
      </c>
      <c r="O11" s="24">
        <f t="shared" si="3"/>
        <v>79.228019862578194</v>
      </c>
    </row>
    <row r="12" spans="1:15" x14ac:dyDescent="0.3">
      <c r="A12" s="105"/>
      <c r="B12" s="81" t="s">
        <v>117</v>
      </c>
      <c r="C12" s="84">
        <f>16/C11*100</f>
        <v>24.242424242424242</v>
      </c>
      <c r="D12" s="84">
        <f>24/D11*100</f>
        <v>34.782608695652172</v>
      </c>
      <c r="E12" s="84">
        <f>17/E11*100</f>
        <v>31.481481481481481</v>
      </c>
      <c r="F12" s="84">
        <f>16/F11*100</f>
        <v>31.372549019607842</v>
      </c>
      <c r="G12" s="84">
        <f>20/G11*100</f>
        <v>26.666666666666668</v>
      </c>
      <c r="H12" s="84">
        <f>22/H11*100</f>
        <v>29.333333333333332</v>
      </c>
      <c r="I12" s="84">
        <f>24/I11*100</f>
        <v>32.432432432432435</v>
      </c>
      <c r="J12" s="84">
        <f>17/J11*100</f>
        <v>26.5625</v>
      </c>
      <c r="K12" s="84">
        <f>27/K11*100</f>
        <v>28.421052631578945</v>
      </c>
      <c r="L12" s="24">
        <f t="shared" si="0"/>
        <v>29.47722761146413</v>
      </c>
      <c r="M12" s="24">
        <f t="shared" si="1"/>
        <v>3.3433487728502995</v>
      </c>
      <c r="N12" s="24">
        <f t="shared" si="2"/>
        <v>26.9073068547332</v>
      </c>
      <c r="O12" s="24">
        <f t="shared" si="3"/>
        <v>32.04714836819506</v>
      </c>
    </row>
    <row r="13" spans="1:15" x14ac:dyDescent="0.3">
      <c r="A13" s="105"/>
      <c r="B13" s="81" t="s">
        <v>118</v>
      </c>
      <c r="C13" s="84">
        <f>50/C11*100</f>
        <v>75.757575757575751</v>
      </c>
      <c r="D13" s="84">
        <f>45/D11*100</f>
        <v>65.217391304347828</v>
      </c>
      <c r="E13" s="84">
        <f>37/E11*100</f>
        <v>68.518518518518519</v>
      </c>
      <c r="F13" s="84">
        <f>35/F11*100</f>
        <v>68.627450980392155</v>
      </c>
      <c r="G13" s="84">
        <f>55/G11*100</f>
        <v>73.333333333333329</v>
      </c>
      <c r="H13" s="84">
        <f>53/H11*100</f>
        <v>70.666666666666671</v>
      </c>
      <c r="I13" s="84">
        <f>50/I11*100</f>
        <v>67.567567567567565</v>
      </c>
      <c r="J13" s="84">
        <f>47/J11*100</f>
        <v>73.4375</v>
      </c>
      <c r="K13" s="84">
        <f>68/K11*100</f>
        <v>71.578947368421055</v>
      </c>
      <c r="L13" s="24">
        <f t="shared" si="0"/>
        <v>70.52277238853587</v>
      </c>
      <c r="M13" s="24">
        <f t="shared" si="1"/>
        <v>3.3433487728503533</v>
      </c>
      <c r="N13" s="24">
        <f t="shared" si="2"/>
        <v>67.952851631804904</v>
      </c>
      <c r="O13" s="24">
        <f t="shared" si="3"/>
        <v>73.092693145266836</v>
      </c>
    </row>
    <row r="14" spans="1:15" x14ac:dyDescent="0.3">
      <c r="A14" s="110" t="s">
        <v>2</v>
      </c>
      <c r="B14" s="82" t="s">
        <v>116</v>
      </c>
      <c r="C14" s="27">
        <f>143</f>
        <v>143</v>
      </c>
      <c r="D14" s="27">
        <f>181</f>
        <v>181</v>
      </c>
      <c r="E14" s="27">
        <f>227</f>
        <v>227</v>
      </c>
      <c r="F14" s="27">
        <f>254</f>
        <v>254</v>
      </c>
      <c r="G14" s="27">
        <f>292</f>
        <v>292</v>
      </c>
      <c r="H14" s="27">
        <f>267</f>
        <v>267</v>
      </c>
      <c r="I14" s="27">
        <f>281</f>
        <v>281</v>
      </c>
      <c r="J14" s="27">
        <f>285</f>
        <v>285</v>
      </c>
      <c r="K14" s="27">
        <f>301</f>
        <v>301</v>
      </c>
      <c r="L14" s="28">
        <f t="shared" si="0"/>
        <v>247.88888888888889</v>
      </c>
      <c r="M14" s="28">
        <f t="shared" si="1"/>
        <v>54.261967446003183</v>
      </c>
      <c r="N14" s="28">
        <f t="shared" si="2"/>
        <v>206.17952324539445</v>
      </c>
      <c r="O14" s="28">
        <f t="shared" si="3"/>
        <v>289.59825453238335</v>
      </c>
    </row>
    <row r="15" spans="1:15" x14ac:dyDescent="0.3">
      <c r="A15" s="110"/>
      <c r="B15" s="82" t="s">
        <v>117</v>
      </c>
      <c r="C15" s="85">
        <f>98/C14*100</f>
        <v>68.531468531468533</v>
      </c>
      <c r="D15" s="85">
        <f>138/D14*100</f>
        <v>76.243093922651937</v>
      </c>
      <c r="E15" s="85">
        <f>171/E14*100</f>
        <v>75.330396475770925</v>
      </c>
      <c r="F15" s="85">
        <f>198/F14*100</f>
        <v>77.952755905511808</v>
      </c>
      <c r="G15" s="85">
        <f>213/G14*100</f>
        <v>72.945205479452056</v>
      </c>
      <c r="H15" s="85">
        <f>183/H14*100</f>
        <v>68.539325842696627</v>
      </c>
      <c r="I15" s="85">
        <f>213/I14*100</f>
        <v>75.80071174377224</v>
      </c>
      <c r="J15" s="85">
        <f>197/J14*100</f>
        <v>69.122807017543863</v>
      </c>
      <c r="K15" s="85">
        <f>222/K14*100</f>
        <v>73.754152823920265</v>
      </c>
      <c r="L15" s="28">
        <f t="shared" si="0"/>
        <v>73.135546415865363</v>
      </c>
      <c r="M15" s="28">
        <f t="shared" si="1"/>
        <v>3.5990726157309267</v>
      </c>
      <c r="N15" s="28">
        <f t="shared" si="2"/>
        <v>70.369059265240196</v>
      </c>
      <c r="O15" s="28">
        <f t="shared" si="3"/>
        <v>75.90203356649053</v>
      </c>
    </row>
    <row r="16" spans="1:15" x14ac:dyDescent="0.3">
      <c r="A16" s="110"/>
      <c r="B16" s="82" t="s">
        <v>118</v>
      </c>
      <c r="C16" s="85">
        <f>45/C14*100</f>
        <v>31.46853146853147</v>
      </c>
      <c r="D16" s="85">
        <f>43/D14*100</f>
        <v>23.756906077348066</v>
      </c>
      <c r="E16" s="85">
        <f>56/E14*100</f>
        <v>24.669603524229075</v>
      </c>
      <c r="F16" s="85">
        <f>56/F14*100</f>
        <v>22.047244094488189</v>
      </c>
      <c r="G16" s="85">
        <f>79/G14*100</f>
        <v>27.054794520547947</v>
      </c>
      <c r="H16" s="85">
        <f>84/H14*100</f>
        <v>31.460674157303369</v>
      </c>
      <c r="I16" s="85">
        <f>68/I14*100</f>
        <v>24.199288256227756</v>
      </c>
      <c r="J16" s="85">
        <f>88/J14*100</f>
        <v>30.87719298245614</v>
      </c>
      <c r="K16" s="85">
        <f>79/K14*100</f>
        <v>26.245847176079735</v>
      </c>
      <c r="L16" s="28">
        <f t="shared" si="0"/>
        <v>26.86445358413464</v>
      </c>
      <c r="M16" s="28">
        <f t="shared" si="1"/>
        <v>3.599072615730909</v>
      </c>
      <c r="N16" s="28">
        <f t="shared" si="2"/>
        <v>24.09796643350948</v>
      </c>
      <c r="O16" s="28">
        <f t="shared" si="3"/>
        <v>29.6309407347598</v>
      </c>
    </row>
    <row r="17" spans="1:1" x14ac:dyDescent="0.3">
      <c r="A17" s="6"/>
    </row>
  </sheetData>
  <mergeCells count="6">
    <mergeCell ref="A14:A16"/>
    <mergeCell ref="C6:K6"/>
    <mergeCell ref="L6:M6"/>
    <mergeCell ref="N6:O6"/>
    <mergeCell ref="A8:A10"/>
    <mergeCell ref="A11:A13"/>
  </mergeCells>
  <pageMargins left="0.7" right="0.7" top="0.75" bottom="0.75" header="0.3" footer="0.3"/>
  <pageSetup scale="60" fitToHeight="0" orientation="landscape" r:id="rId1"/>
  <ignoredErrors>
    <ignoredError sqref="H15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60"/>
  <sheetViews>
    <sheetView workbookViewId="0">
      <selection activeCell="A2" sqref="A2:C61"/>
    </sheetView>
  </sheetViews>
  <sheetFormatPr defaultColWidth="9.109375" defaultRowHeight="15.6" x14ac:dyDescent="0.3"/>
  <sheetData>
    <row r="2" spans="1:1" x14ac:dyDescent="0.3">
      <c r="A2" s="5" t="s">
        <v>61</v>
      </c>
    </row>
    <row r="3" spans="1:1" x14ac:dyDescent="0.3">
      <c r="A3" s="6" t="s">
        <v>14</v>
      </c>
    </row>
    <row r="4" spans="1:1" x14ac:dyDescent="0.3">
      <c r="A4" t="s">
        <v>21</v>
      </c>
    </row>
    <row r="5" spans="1:1" x14ac:dyDescent="0.3">
      <c r="A5" t="s">
        <v>22</v>
      </c>
    </row>
    <row r="6" spans="1:1" x14ac:dyDescent="0.3">
      <c r="A6" t="s">
        <v>23</v>
      </c>
    </row>
    <row r="7" spans="1:1" x14ac:dyDescent="0.3">
      <c r="A7" t="s">
        <v>24</v>
      </c>
    </row>
    <row r="8" spans="1:1" x14ac:dyDescent="0.3">
      <c r="A8" t="s">
        <v>26</v>
      </c>
    </row>
    <row r="9" spans="1:1" x14ac:dyDescent="0.3">
      <c r="A9" t="s">
        <v>27</v>
      </c>
    </row>
    <row r="10" spans="1:1" x14ac:dyDescent="0.3">
      <c r="A10" t="s">
        <v>40</v>
      </c>
    </row>
    <row r="11" spans="1:1" x14ac:dyDescent="0.3">
      <c r="A11" t="s">
        <v>28</v>
      </c>
    </row>
    <row r="12" spans="1:1" x14ac:dyDescent="0.3">
      <c r="A12" t="s">
        <v>29</v>
      </c>
    </row>
    <row r="13" spans="1:1" x14ac:dyDescent="0.3">
      <c r="A13" s="6" t="s">
        <v>35</v>
      </c>
    </row>
    <row r="14" spans="1:1" x14ac:dyDescent="0.3">
      <c r="A14" t="s">
        <v>30</v>
      </c>
    </row>
    <row r="15" spans="1:1" x14ac:dyDescent="0.3">
      <c r="A15" t="s">
        <v>31</v>
      </c>
    </row>
    <row r="16" spans="1:1" x14ac:dyDescent="0.3">
      <c r="A16" t="s">
        <v>32</v>
      </c>
    </row>
    <row r="17" spans="1:1" x14ac:dyDescent="0.3">
      <c r="A17" t="s">
        <v>66</v>
      </c>
    </row>
    <row r="18" spans="1:1" x14ac:dyDescent="0.3">
      <c r="A18" t="s">
        <v>33</v>
      </c>
    </row>
    <row r="19" spans="1:1" x14ac:dyDescent="0.3">
      <c r="A19" s="6" t="s">
        <v>34</v>
      </c>
    </row>
    <row r="21" spans="1:1" x14ac:dyDescent="0.3">
      <c r="A21" s="5" t="s">
        <v>15</v>
      </c>
    </row>
    <row r="22" spans="1:1" x14ac:dyDescent="0.3">
      <c r="A22" t="s">
        <v>36</v>
      </c>
    </row>
    <row r="23" spans="1:1" x14ac:dyDescent="0.3">
      <c r="A23" t="s">
        <v>37</v>
      </c>
    </row>
    <row r="24" spans="1:1" x14ac:dyDescent="0.3">
      <c r="A24" t="s">
        <v>38</v>
      </c>
    </row>
    <row r="25" spans="1:1" x14ac:dyDescent="0.3">
      <c r="A25" t="s">
        <v>51</v>
      </c>
    </row>
    <row r="26" spans="1:1" x14ac:dyDescent="0.3">
      <c r="A26" t="s">
        <v>26</v>
      </c>
    </row>
    <row r="27" spans="1:1" x14ac:dyDescent="0.3">
      <c r="A27" t="s">
        <v>39</v>
      </c>
    </row>
    <row r="28" spans="1:1" x14ac:dyDescent="0.3">
      <c r="A28" t="s">
        <v>41</v>
      </c>
    </row>
    <row r="29" spans="1:1" x14ac:dyDescent="0.3">
      <c r="A29" t="s">
        <v>28</v>
      </c>
    </row>
    <row r="30" spans="1:1" x14ac:dyDescent="0.3">
      <c r="A30" t="s">
        <v>29</v>
      </c>
    </row>
    <row r="31" spans="1:1" x14ac:dyDescent="0.3">
      <c r="A31" s="5" t="s">
        <v>42</v>
      </c>
    </row>
    <row r="32" spans="1:1" x14ac:dyDescent="0.3">
      <c r="A32" s="5" t="s">
        <v>43</v>
      </c>
    </row>
    <row r="33" spans="1:1" x14ac:dyDescent="0.3">
      <c r="A33" t="s">
        <v>44</v>
      </c>
    </row>
    <row r="34" spans="1:1" x14ac:dyDescent="0.3">
      <c r="A34" t="s">
        <v>45</v>
      </c>
    </row>
    <row r="35" spans="1:1" x14ac:dyDescent="0.3">
      <c r="A35" t="s">
        <v>67</v>
      </c>
    </row>
    <row r="36" spans="1:1" x14ac:dyDescent="0.3">
      <c r="A36" t="s">
        <v>46</v>
      </c>
    </row>
    <row r="37" spans="1:1" x14ac:dyDescent="0.3">
      <c r="A37" s="5" t="s">
        <v>47</v>
      </c>
    </row>
    <row r="38" spans="1:1" x14ac:dyDescent="0.3">
      <c r="A38" s="5"/>
    </row>
    <row r="39" spans="1:1" x14ac:dyDescent="0.3">
      <c r="A39" s="7" t="s">
        <v>16</v>
      </c>
    </row>
    <row r="40" spans="1:1" x14ac:dyDescent="0.3">
      <c r="A40" t="s">
        <v>48</v>
      </c>
    </row>
    <row r="41" spans="1:1" x14ac:dyDescent="0.3">
      <c r="A41" t="s">
        <v>49</v>
      </c>
    </row>
    <row r="42" spans="1:1" x14ac:dyDescent="0.3">
      <c r="A42" t="s">
        <v>38</v>
      </c>
    </row>
    <row r="43" spans="1:1" x14ac:dyDescent="0.3">
      <c r="A43" t="s">
        <v>50</v>
      </c>
    </row>
    <row r="44" spans="1:1" x14ac:dyDescent="0.3">
      <c r="A44" t="s">
        <v>52</v>
      </c>
    </row>
    <row r="45" spans="1:1" x14ac:dyDescent="0.3">
      <c r="A45" t="s">
        <v>53</v>
      </c>
    </row>
    <row r="46" spans="1:1" x14ac:dyDescent="0.3">
      <c r="A46" t="s">
        <v>54</v>
      </c>
    </row>
    <row r="47" spans="1:1" x14ac:dyDescent="0.3">
      <c r="A47" t="s">
        <v>28</v>
      </c>
    </row>
    <row r="48" spans="1:1" x14ac:dyDescent="0.3">
      <c r="A48" t="s">
        <v>55</v>
      </c>
    </row>
    <row r="49" spans="1:1" x14ac:dyDescent="0.3">
      <c r="A49" s="7" t="s">
        <v>56</v>
      </c>
    </row>
    <row r="50" spans="1:1" x14ac:dyDescent="0.3">
      <c r="A50" t="s">
        <v>57</v>
      </c>
    </row>
    <row r="51" spans="1:1" x14ac:dyDescent="0.3">
      <c r="A51" t="s">
        <v>45</v>
      </c>
    </row>
    <row r="52" spans="1:1" x14ac:dyDescent="0.3">
      <c r="A52" t="s">
        <v>68</v>
      </c>
    </row>
    <row r="53" spans="1:1" x14ac:dyDescent="0.3">
      <c r="A53" t="s">
        <v>58</v>
      </c>
    </row>
    <row r="54" spans="1:1" x14ac:dyDescent="0.3">
      <c r="A54" s="7" t="s">
        <v>59</v>
      </c>
    </row>
    <row r="55" spans="1:1" x14ac:dyDescent="0.3">
      <c r="A55" s="7" t="s">
        <v>60</v>
      </c>
    </row>
    <row r="57" spans="1:1" x14ac:dyDescent="0.3">
      <c r="A57" s="5" t="s">
        <v>62</v>
      </c>
    </row>
    <row r="58" spans="1:1" x14ac:dyDescent="0.3">
      <c r="A58" s="5" t="s">
        <v>63</v>
      </c>
    </row>
    <row r="59" spans="1:1" x14ac:dyDescent="0.3">
      <c r="A59" s="5" t="s">
        <v>64</v>
      </c>
    </row>
    <row r="60" spans="1:1" x14ac:dyDescent="0.3">
      <c r="A60" s="5" t="s">
        <v>65</v>
      </c>
    </row>
  </sheetData>
  <pageMargins left="0.7" right="0.7" top="0.75" bottom="0.75" header="0.3" footer="0.3"/>
  <pageSetup scale="8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3" zoomScale="90" zoomScaleNormal="90" workbookViewId="0">
      <selection activeCell="H2" sqref="H2"/>
    </sheetView>
  </sheetViews>
  <sheetFormatPr defaultColWidth="11.5546875" defaultRowHeight="15.6" x14ac:dyDescent="0.3"/>
  <cols>
    <col min="2" max="2" width="20" bestFit="1" customWidth="1"/>
  </cols>
  <sheetData>
    <row r="1" spans="1:15" x14ac:dyDescent="0.3">
      <c r="A1" s="4" t="s">
        <v>69</v>
      </c>
    </row>
    <row r="2" spans="1:15" x14ac:dyDescent="0.3">
      <c r="A2" s="4" t="s">
        <v>131</v>
      </c>
    </row>
    <row r="3" spans="1:15" x14ac:dyDescent="0.3">
      <c r="A3" s="4" t="s">
        <v>70</v>
      </c>
    </row>
    <row r="4" spans="1:15" x14ac:dyDescent="0.3">
      <c r="A4" s="4" t="s">
        <v>122</v>
      </c>
    </row>
    <row r="5" spans="1:15" x14ac:dyDescent="0.3">
      <c r="A5" s="4"/>
    </row>
    <row r="6" spans="1:15" x14ac:dyDescent="0.3">
      <c r="A6" s="111" t="s">
        <v>14</v>
      </c>
      <c r="B6" s="112"/>
      <c r="C6" s="112"/>
    </row>
    <row r="7" spans="1:15" x14ac:dyDescent="0.3">
      <c r="A7" s="4"/>
    </row>
    <row r="8" spans="1:15" x14ac:dyDescent="0.3">
      <c r="A8" s="11"/>
      <c r="B8" s="11"/>
      <c r="C8" s="120" t="s">
        <v>73</v>
      </c>
      <c r="D8" s="122"/>
      <c r="E8" s="122"/>
      <c r="F8" s="122"/>
      <c r="G8" s="122"/>
      <c r="H8" s="122"/>
      <c r="I8" s="122"/>
      <c r="J8" s="122"/>
      <c r="K8" s="121"/>
      <c r="L8" s="120" t="s">
        <v>13</v>
      </c>
      <c r="M8" s="121"/>
      <c r="N8" s="119" t="s">
        <v>81</v>
      </c>
      <c r="O8" s="119"/>
    </row>
    <row r="9" spans="1:15" x14ac:dyDescent="0.3">
      <c r="A9" s="10" t="s">
        <v>71</v>
      </c>
      <c r="B9" s="10" t="s">
        <v>0</v>
      </c>
      <c r="C9" s="10">
        <v>2004</v>
      </c>
      <c r="D9" s="10">
        <v>2005</v>
      </c>
      <c r="E9" s="10">
        <v>2006</v>
      </c>
      <c r="F9" s="10">
        <v>2007</v>
      </c>
      <c r="G9" s="10">
        <v>2008</v>
      </c>
      <c r="H9" s="10">
        <v>2009</v>
      </c>
      <c r="I9" s="10">
        <v>2010</v>
      </c>
      <c r="J9" s="10">
        <v>2011</v>
      </c>
      <c r="K9" s="10">
        <v>2012</v>
      </c>
      <c r="L9" s="10" t="s">
        <v>11</v>
      </c>
      <c r="M9" s="10" t="s">
        <v>72</v>
      </c>
      <c r="N9" s="10" t="s">
        <v>78</v>
      </c>
      <c r="O9" s="10" t="s">
        <v>79</v>
      </c>
    </row>
    <row r="10" spans="1:15" x14ac:dyDescent="0.3">
      <c r="A10" s="113" t="s">
        <v>74</v>
      </c>
      <c r="B10" s="44" t="s">
        <v>80</v>
      </c>
      <c r="C10" s="44">
        <f>10+9+21+8</f>
        <v>48</v>
      </c>
      <c r="D10" s="44">
        <f>5+18+14+21</f>
        <v>58</v>
      </c>
      <c r="E10" s="44">
        <f>9+7+15+12</f>
        <v>43</v>
      </c>
      <c r="F10" s="44">
        <f>8+9+16+20</f>
        <v>53</v>
      </c>
      <c r="G10" s="44">
        <f>5+6+12+21</f>
        <v>44</v>
      </c>
      <c r="H10" s="44">
        <f>4+6+11+22</f>
        <v>43</v>
      </c>
      <c r="I10" s="44">
        <f>2+16+11+28</f>
        <v>57</v>
      </c>
      <c r="J10" s="44">
        <f>6+5+26</f>
        <v>37</v>
      </c>
      <c r="K10" s="44">
        <f>1+6+9+18</f>
        <v>34</v>
      </c>
      <c r="L10" s="45">
        <f>AVERAGE(C10:K10)</f>
        <v>46.333333333333336</v>
      </c>
      <c r="M10" s="45">
        <f>_xlfn.STDEV.S(C10:K10)</f>
        <v>8.3964278118733322</v>
      </c>
      <c r="N10" s="45">
        <f>(L10-(2.306*(M10/SQRT(9))))</f>
        <v>39.879279155273366</v>
      </c>
      <c r="O10" s="45">
        <f>(L10+(2.306*(M10/SQRT(9))))</f>
        <v>52.787387511393305</v>
      </c>
    </row>
    <row r="11" spans="1:15" x14ac:dyDescent="0.3">
      <c r="A11" s="114"/>
      <c r="B11" s="30" t="s">
        <v>4</v>
      </c>
      <c r="C11" s="52">
        <f>(8+6+16+8)/C10*100</f>
        <v>79.166666666666657</v>
      </c>
      <c r="D11" s="52">
        <f>(3+9+12+16)/D10*100</f>
        <v>68.965517241379317</v>
      </c>
      <c r="E11" s="52">
        <f>(5+7+10+11)/E10*100</f>
        <v>76.744186046511629</v>
      </c>
      <c r="F11" s="52">
        <f>(4+5+13+13)/F10*100</f>
        <v>66.037735849056602</v>
      </c>
      <c r="G11" s="52">
        <f>(4+5+11+14)/G10*100</f>
        <v>77.272727272727266</v>
      </c>
      <c r="H11" s="52">
        <f>(3+4+11+18)/H10*100</f>
        <v>83.720930232558146</v>
      </c>
      <c r="I11" s="52">
        <f>(2+8+4+11)/I10*100</f>
        <v>43.859649122807014</v>
      </c>
      <c r="J11" s="52">
        <f>(1+2+19)/J10*100</f>
        <v>59.45945945945946</v>
      </c>
      <c r="K11" s="52">
        <f>(4+6+13)/K10*100</f>
        <v>67.64705882352942</v>
      </c>
      <c r="L11" s="31">
        <f>AVERAGE(C11:K11)</f>
        <v>69.208214523855048</v>
      </c>
      <c r="M11" s="31">
        <f>_xlfn.STDEV.S(C11:K11)</f>
        <v>12.153975462297479</v>
      </c>
      <c r="N11" s="31">
        <f>(L11-(2.306*(M11/SQRT(9))))</f>
        <v>59.865858718502388</v>
      </c>
      <c r="O11" s="31">
        <f>(L11+(2.306*(M11/SQRT(9))))</f>
        <v>78.550570329207716</v>
      </c>
    </row>
    <row r="12" spans="1:15" x14ac:dyDescent="0.3">
      <c r="A12" s="114"/>
      <c r="B12" s="30" t="s">
        <v>5</v>
      </c>
      <c r="C12" s="52">
        <f>(7+4+14+8)/C10*100</f>
        <v>68.75</v>
      </c>
      <c r="D12" s="52">
        <f>(3+8+12+15)/D10*100</f>
        <v>65.517241379310349</v>
      </c>
      <c r="E12" s="52">
        <f>(3+7+10+10)/E10*100</f>
        <v>69.767441860465112</v>
      </c>
      <c r="F12" s="52">
        <f>(4+4+11+13)/F10*100</f>
        <v>60.377358490566039</v>
      </c>
      <c r="G12" s="52">
        <f>(3+3+10+9)/G10*100</f>
        <v>56.81818181818182</v>
      </c>
      <c r="H12" s="52">
        <f>(1+4+10+16)/H10*100</f>
        <v>72.093023255813947</v>
      </c>
      <c r="I12" s="52">
        <f>(2+10+8+21)/I10*100</f>
        <v>71.929824561403507</v>
      </c>
      <c r="J12" s="52">
        <f>(19)/J10*100</f>
        <v>51.351351351351347</v>
      </c>
      <c r="K12" s="52" t="s">
        <v>7</v>
      </c>
      <c r="L12" s="31">
        <f t="shared" ref="L12:L30" si="0">AVERAGE(C12:K12)</f>
        <v>64.575552839636515</v>
      </c>
      <c r="M12" s="31">
        <f t="shared" ref="M12:M30" si="1">_xlfn.STDEV.S(C12:K12)</f>
        <v>7.6396271223567416</v>
      </c>
      <c r="N12" s="31">
        <f t="shared" ref="N12:N30" si="2">(L12-(2.306*(M12/SQRT(9))))</f>
        <v>58.703226124918302</v>
      </c>
      <c r="O12" s="31">
        <f t="shared" ref="O12:O30" si="3">(L12+(2.306*(M12/SQRT(9))))</f>
        <v>70.447879554354728</v>
      </c>
    </row>
    <row r="13" spans="1:15" x14ac:dyDescent="0.3">
      <c r="A13" s="114"/>
      <c r="B13" s="30" t="s">
        <v>20</v>
      </c>
      <c r="C13" s="52">
        <f>(7+3+14+8)/C10*100</f>
        <v>66.666666666666657</v>
      </c>
      <c r="D13" s="52">
        <f>(3+7+11+11)/D10*100</f>
        <v>55.172413793103445</v>
      </c>
      <c r="E13" s="52">
        <f>(3+7+10+10)/E10*100</f>
        <v>69.767441860465112</v>
      </c>
      <c r="F13" s="52">
        <f>(4+4+9+12)/F10*100</f>
        <v>54.716981132075468</v>
      </c>
      <c r="G13" s="52">
        <f>(3+4+10+7)/G10*100</f>
        <v>54.54545454545454</v>
      </c>
      <c r="H13" s="52">
        <f>(4+8+14)/H10*100</f>
        <v>60.465116279069761</v>
      </c>
      <c r="I13" s="52">
        <f>(2+10+8+20)/I10*100</f>
        <v>70.175438596491219</v>
      </c>
      <c r="J13" s="52" t="s">
        <v>7</v>
      </c>
      <c r="K13" s="52" t="s">
        <v>7</v>
      </c>
      <c r="L13" s="31">
        <f t="shared" si="0"/>
        <v>61.644216124760888</v>
      </c>
      <c r="M13" s="31">
        <f t="shared" si="1"/>
        <v>7.1373088431042913</v>
      </c>
      <c r="N13" s="31">
        <f t="shared" si="2"/>
        <v>56.158004727361387</v>
      </c>
      <c r="O13" s="31">
        <f t="shared" si="3"/>
        <v>67.130427522160389</v>
      </c>
    </row>
    <row r="14" spans="1:15" x14ac:dyDescent="0.3">
      <c r="A14" s="114"/>
      <c r="B14" s="30" t="s">
        <v>8</v>
      </c>
      <c r="C14" s="52">
        <f>(1+3+5+5)/C10*100</f>
        <v>29.166666666666668</v>
      </c>
      <c r="D14" s="52">
        <f>(1+4+7+9)/D10*100</f>
        <v>36.206896551724135</v>
      </c>
      <c r="E14" s="52">
        <f>(1+4+5+8)/E10*100</f>
        <v>41.860465116279073</v>
      </c>
      <c r="F14" s="52">
        <f>(2+1+6+6)/F10*100</f>
        <v>28.30188679245283</v>
      </c>
      <c r="G14" s="52">
        <f>(1+3+7+2)/G10*100</f>
        <v>29.545454545454547</v>
      </c>
      <c r="H14" s="52">
        <f>(1+3+7+5)/H10*100</f>
        <v>37.209302325581397</v>
      </c>
      <c r="I14" s="52" t="s">
        <v>7</v>
      </c>
      <c r="J14" s="53">
        <f>(1)/J10*100</f>
        <v>2.7027027027027026</v>
      </c>
      <c r="K14" s="52" t="s">
        <v>7</v>
      </c>
      <c r="L14" s="31">
        <f>AVERAGE(C14:H14)</f>
        <v>33.715111999693107</v>
      </c>
      <c r="M14" s="31">
        <f>_xlfn.STDEV.S(C14:H14)</f>
        <v>5.5162041125880474</v>
      </c>
      <c r="N14" s="31">
        <f t="shared" si="2"/>
        <v>29.474989771817093</v>
      </c>
      <c r="O14" s="31">
        <f t="shared" si="3"/>
        <v>37.955234227569122</v>
      </c>
    </row>
    <row r="15" spans="1:15" x14ac:dyDescent="0.3">
      <c r="A15" s="114"/>
      <c r="B15" s="30" t="s">
        <v>9</v>
      </c>
      <c r="C15" s="52">
        <f>(5+3+8+5)/C10*100</f>
        <v>43.75</v>
      </c>
      <c r="D15" s="52">
        <f>(1+4+9+12)/D10*100</f>
        <v>44.827586206896555</v>
      </c>
      <c r="E15" s="52">
        <f>(1+6+7+8)/E10*100</f>
        <v>51.162790697674424</v>
      </c>
      <c r="F15" s="52">
        <f>(3+4+9+9)/F10*100</f>
        <v>47.169811320754718</v>
      </c>
      <c r="G15" s="52">
        <f>(1+3+8+6)/G10*100</f>
        <v>40.909090909090914</v>
      </c>
      <c r="H15" s="52" t="s">
        <v>7</v>
      </c>
      <c r="I15" s="52" t="s">
        <v>7</v>
      </c>
      <c r="J15" s="52" t="s">
        <v>7</v>
      </c>
      <c r="K15" s="52" t="s">
        <v>7</v>
      </c>
      <c r="L15" s="31">
        <f t="shared" si="0"/>
        <v>45.563855826883319</v>
      </c>
      <c r="M15" s="31">
        <f t="shared" si="1"/>
        <v>3.8544184739595053</v>
      </c>
      <c r="N15" s="31">
        <f t="shared" si="2"/>
        <v>42.601092826566443</v>
      </c>
      <c r="O15" s="31">
        <f t="shared" si="3"/>
        <v>48.526618827200195</v>
      </c>
    </row>
    <row r="16" spans="1:15" x14ac:dyDescent="0.3">
      <c r="A16" s="115"/>
      <c r="B16" s="30" t="s">
        <v>6</v>
      </c>
      <c r="C16" s="52">
        <f>(5+3+11+6)/C10*100</f>
        <v>52.083333333333336</v>
      </c>
      <c r="D16" s="52">
        <f>(1+5+9+12)/D10*100</f>
        <v>46.551724137931032</v>
      </c>
      <c r="E16" s="52">
        <f>(1+6+8+9)/E10*100</f>
        <v>55.813953488372093</v>
      </c>
      <c r="F16" s="52">
        <f>(3+4+9+9)/F10*100</f>
        <v>47.169811320754718</v>
      </c>
      <c r="G16" s="52" t="s">
        <v>7</v>
      </c>
      <c r="H16" s="52" t="s">
        <v>7</v>
      </c>
      <c r="I16" s="52" t="s">
        <v>7</v>
      </c>
      <c r="J16" s="52" t="s">
        <v>7</v>
      </c>
      <c r="K16" s="52" t="s">
        <v>7</v>
      </c>
      <c r="L16" s="31">
        <f t="shared" si="0"/>
        <v>50.404705570097789</v>
      </c>
      <c r="M16" s="31">
        <f t="shared" si="1"/>
        <v>4.3737002233011939</v>
      </c>
      <c r="N16" s="31">
        <f t="shared" si="2"/>
        <v>47.042787998453605</v>
      </c>
      <c r="O16" s="31">
        <f t="shared" si="3"/>
        <v>53.766623141741974</v>
      </c>
    </row>
    <row r="17" spans="1:15" x14ac:dyDescent="0.3">
      <c r="A17" s="116" t="s">
        <v>75</v>
      </c>
      <c r="B17" s="69" t="s">
        <v>80</v>
      </c>
      <c r="C17" s="69">
        <f>28+34+12+20+21</f>
        <v>115</v>
      </c>
      <c r="D17" s="69">
        <f>20+39+16+22+36</f>
        <v>133</v>
      </c>
      <c r="E17" s="69">
        <f>19+37+12+14+23</f>
        <v>105</v>
      </c>
      <c r="F17" s="69">
        <f>16+22+5+8+15</f>
        <v>66</v>
      </c>
      <c r="G17" s="69">
        <f>15+20+12+15+27</f>
        <v>89</v>
      </c>
      <c r="H17" s="69">
        <f>25+12+7+6+19</f>
        <v>69</v>
      </c>
      <c r="I17" s="69">
        <f>30+14+1+11+17+23</f>
        <v>96</v>
      </c>
      <c r="J17" s="69">
        <f>16+17+16+9+31</f>
        <v>89</v>
      </c>
      <c r="K17" s="69">
        <f>25+10+11+9+28</f>
        <v>83</v>
      </c>
      <c r="L17" s="70">
        <f>AVERAGE(C17:K17)</f>
        <v>93.888888888888886</v>
      </c>
      <c r="M17" s="70">
        <f>_xlfn.STDEV.S(C17:K17)</f>
        <v>21.409369703732786</v>
      </c>
      <c r="N17" s="70">
        <f t="shared" si="2"/>
        <v>77.432220043286279</v>
      </c>
      <c r="O17" s="70">
        <f t="shared" si="3"/>
        <v>110.34555773449149</v>
      </c>
    </row>
    <row r="18" spans="1:15" x14ac:dyDescent="0.3">
      <c r="A18" s="117"/>
      <c r="B18" s="71" t="s">
        <v>4</v>
      </c>
      <c r="C18" s="72">
        <f>(24+31+10+14+19)/C17*100</f>
        <v>85.217391304347828</v>
      </c>
      <c r="D18" s="72">
        <f>(18+29+15+19+28)/D17*100</f>
        <v>81.954887218045116</v>
      </c>
      <c r="E18" s="72">
        <f>(15+29+12+11+17)/E17*100</f>
        <v>80</v>
      </c>
      <c r="F18" s="72">
        <f>(15+16+4+7+13)/F17*100</f>
        <v>83.333333333333343</v>
      </c>
      <c r="G18" s="72">
        <f>(15+16+11+11+22)/G17*100</f>
        <v>84.269662921348313</v>
      </c>
      <c r="H18" s="72">
        <f>(18+7+6+3+17)/H17*100</f>
        <v>73.91304347826086</v>
      </c>
      <c r="I18" s="72">
        <f>(26+12+1+9+16+18)/I17*100</f>
        <v>85.416666666666657</v>
      </c>
      <c r="J18" s="72">
        <f>(14+15+10+6+26)/J17*100</f>
        <v>79.775280898876403</v>
      </c>
      <c r="K18" s="72">
        <f>(19+10+9+7+25)/K17*100</f>
        <v>84.337349397590373</v>
      </c>
      <c r="L18" s="73">
        <f t="shared" si="0"/>
        <v>82.024179468718771</v>
      </c>
      <c r="M18" s="73">
        <f t="shared" si="1"/>
        <v>3.6871835776658979</v>
      </c>
      <c r="N18" s="73">
        <f t="shared" si="2"/>
        <v>79.189964358686254</v>
      </c>
      <c r="O18" s="73">
        <f t="shared" si="3"/>
        <v>84.858394578751287</v>
      </c>
    </row>
    <row r="19" spans="1:15" x14ac:dyDescent="0.3">
      <c r="A19" s="117"/>
      <c r="B19" s="71" t="s">
        <v>5</v>
      </c>
      <c r="C19" s="72">
        <f>(22+30+9+12+18)/C17*100</f>
        <v>79.130434782608688</v>
      </c>
      <c r="D19" s="72">
        <f>(17+26+14+17+27)/D17*100</f>
        <v>75.939849624060145</v>
      </c>
      <c r="E19" s="72">
        <f>(13+24+11+10+15)/E17*100</f>
        <v>69.523809523809518</v>
      </c>
      <c r="F19" s="72">
        <f>(13+15+4+6+8)/F17*100</f>
        <v>69.696969696969703</v>
      </c>
      <c r="G19" s="72">
        <f>(14+13+10+10+18)/G17*100</f>
        <v>73.033707865168537</v>
      </c>
      <c r="H19" s="72">
        <f>(17+5+6+4+14)/H17*100</f>
        <v>66.666666666666657</v>
      </c>
      <c r="I19" s="72">
        <f>(25+12+1+9+14+15)/I17*100</f>
        <v>79.166666666666657</v>
      </c>
      <c r="J19" s="72">
        <f>(14+14+10+6+24)/J17*100</f>
        <v>76.404494382022463</v>
      </c>
      <c r="K19" s="72" t="s">
        <v>7</v>
      </c>
      <c r="L19" s="73">
        <f t="shared" si="0"/>
        <v>73.695324900996539</v>
      </c>
      <c r="M19" s="73">
        <f t="shared" si="1"/>
        <v>4.7068589648984993</v>
      </c>
      <c r="N19" s="73">
        <f t="shared" si="2"/>
        <v>70.077319309977895</v>
      </c>
      <c r="O19" s="73">
        <f t="shared" si="3"/>
        <v>77.313330492015183</v>
      </c>
    </row>
    <row r="20" spans="1:15" x14ac:dyDescent="0.3">
      <c r="A20" s="117"/>
      <c r="B20" s="71" t="s">
        <v>20</v>
      </c>
      <c r="C20" s="72">
        <f>(21+29+9+12+17)/C17*100</f>
        <v>76.521739130434781</v>
      </c>
      <c r="D20" s="72">
        <f>(16+27+14+17+26)/D17*100</f>
        <v>75.187969924812023</v>
      </c>
      <c r="E20" s="72">
        <f>(11+25+11+9+15)/E17*100</f>
        <v>67.61904761904762</v>
      </c>
      <c r="F20" s="72">
        <f>(13+14+4+4+6)/F17*100</f>
        <v>62.121212121212125</v>
      </c>
      <c r="G20" s="72">
        <f>(12+8+10+11+14)/G17*100</f>
        <v>61.797752808988761</v>
      </c>
      <c r="H20" s="72">
        <f>(14+5+6+3+13)/H17*100</f>
        <v>59.420289855072461</v>
      </c>
      <c r="I20" s="72">
        <f>(23+11+1+8+13+13)/I17*100</f>
        <v>71.875</v>
      </c>
      <c r="J20" s="72" t="s">
        <v>7</v>
      </c>
      <c r="K20" s="72" t="s">
        <v>7</v>
      </c>
      <c r="L20" s="73">
        <f t="shared" si="0"/>
        <v>67.791858779938252</v>
      </c>
      <c r="M20" s="73">
        <f t="shared" si="1"/>
        <v>6.9014960105820515</v>
      </c>
      <c r="N20" s="73">
        <f t="shared" si="2"/>
        <v>62.486908846470847</v>
      </c>
      <c r="O20" s="73">
        <f t="shared" si="3"/>
        <v>73.09680871340565</v>
      </c>
    </row>
    <row r="21" spans="1:15" x14ac:dyDescent="0.3">
      <c r="A21" s="117"/>
      <c r="B21" s="71" t="s">
        <v>8</v>
      </c>
      <c r="C21" s="72">
        <f>(16+27+7+5+15)/C17*100</f>
        <v>60.869565217391312</v>
      </c>
      <c r="D21" s="72">
        <f>(13+18+11+11+20)/D17*100</f>
        <v>54.887218045112782</v>
      </c>
      <c r="E21" s="72">
        <f>(10+16+11+8+11)/E17*100</f>
        <v>53.333333333333336</v>
      </c>
      <c r="F21" s="72">
        <f>(7+9+4+5+5)/F17*100</f>
        <v>45.454545454545453</v>
      </c>
      <c r="G21" s="72">
        <f>(10+7+9+9+9)/G17*100</f>
        <v>49.438202247191008</v>
      </c>
      <c r="H21" s="72">
        <f>(12+4+6+2+11)/H17*100</f>
        <v>50.724637681159422</v>
      </c>
      <c r="I21" s="74">
        <f>(3+1+1+1)/I17*100</f>
        <v>6.25</v>
      </c>
      <c r="J21" s="74">
        <f>(1)/J17*100</f>
        <v>1.1235955056179776</v>
      </c>
      <c r="K21" s="72" t="s">
        <v>7</v>
      </c>
      <c r="L21" s="73">
        <f>AVERAGE(C21:H21)</f>
        <v>52.451250329788884</v>
      </c>
      <c r="M21" s="73">
        <f>_xlfn.STDEV.S(C21:H21)</f>
        <v>5.2648563851216332</v>
      </c>
      <c r="N21" s="73">
        <f t="shared" si="2"/>
        <v>48.404330721758726</v>
      </c>
      <c r="O21" s="73">
        <f t="shared" si="3"/>
        <v>56.498169937819043</v>
      </c>
    </row>
    <row r="22" spans="1:15" x14ac:dyDescent="0.3">
      <c r="A22" s="117"/>
      <c r="B22" s="71" t="s">
        <v>9</v>
      </c>
      <c r="C22" s="72">
        <f>(18+28+8+10+16)/C17*100</f>
        <v>69.565217391304344</v>
      </c>
      <c r="D22" s="72">
        <f>(13+19+13+14+23)/D17*100</f>
        <v>61.65413533834586</v>
      </c>
      <c r="E22" s="72">
        <f>(10+18+11+8+14)/E17*100</f>
        <v>58.095238095238102</v>
      </c>
      <c r="F22" s="72">
        <f>(10+9+4+5+7)/F17*100</f>
        <v>53.030303030303031</v>
      </c>
      <c r="G22" s="72">
        <f>(11+9+9+9+12)/G17*100</f>
        <v>56.17977528089888</v>
      </c>
      <c r="H22" s="72" t="s">
        <v>7</v>
      </c>
      <c r="I22" s="72" t="s">
        <v>7</v>
      </c>
      <c r="J22" s="72" t="s">
        <v>7</v>
      </c>
      <c r="K22" s="72" t="s">
        <v>7</v>
      </c>
      <c r="L22" s="73">
        <f t="shared" si="0"/>
        <v>59.704933827218042</v>
      </c>
      <c r="M22" s="73">
        <f t="shared" si="1"/>
        <v>6.336267392884813</v>
      </c>
      <c r="N22" s="73">
        <f t="shared" si="2"/>
        <v>54.834456291220583</v>
      </c>
      <c r="O22" s="73">
        <f t="shared" si="3"/>
        <v>64.575411363215508</v>
      </c>
    </row>
    <row r="23" spans="1:15" x14ac:dyDescent="0.3">
      <c r="A23" s="118"/>
      <c r="B23" s="71" t="s">
        <v>6</v>
      </c>
      <c r="C23" s="72">
        <f>(19+28+8+11+17)/C17*100</f>
        <v>72.173913043478265</v>
      </c>
      <c r="D23" s="72">
        <f>(14+20+13+15+23)/D17*100</f>
        <v>63.909774436090231</v>
      </c>
      <c r="E23" s="72">
        <f>(11+18+11+8+15)/E17*100</f>
        <v>60</v>
      </c>
      <c r="F23" s="72">
        <f>(11+9+4+5+7)/F17*100</f>
        <v>54.54545454545454</v>
      </c>
      <c r="G23" s="72" t="s">
        <v>7</v>
      </c>
      <c r="H23" s="72" t="s">
        <v>7</v>
      </c>
      <c r="I23" s="72" t="s">
        <v>7</v>
      </c>
      <c r="J23" s="72" t="s">
        <v>7</v>
      </c>
      <c r="K23" s="72" t="s">
        <v>7</v>
      </c>
      <c r="L23" s="73">
        <f t="shared" si="0"/>
        <v>62.657285506255754</v>
      </c>
      <c r="M23" s="73">
        <f t="shared" si="1"/>
        <v>7.4161512030601937</v>
      </c>
      <c r="N23" s="73">
        <f t="shared" si="2"/>
        <v>56.956737281503486</v>
      </c>
      <c r="O23" s="73">
        <f t="shared" si="3"/>
        <v>68.357833731008029</v>
      </c>
    </row>
    <row r="24" spans="1:15" x14ac:dyDescent="0.3">
      <c r="A24" s="113" t="s">
        <v>76</v>
      </c>
      <c r="B24" s="54" t="s">
        <v>80</v>
      </c>
      <c r="C24" s="54">
        <f>21+23+5+23</f>
        <v>72</v>
      </c>
      <c r="D24" s="54">
        <f>9+31+11+29</f>
        <v>80</v>
      </c>
      <c r="E24" s="54">
        <f>9+27+4+35</f>
        <v>75</v>
      </c>
      <c r="F24" s="54">
        <f>6+6+9+5+38</f>
        <v>64</v>
      </c>
      <c r="G24" s="54">
        <f>13+9+8+35</f>
        <v>65</v>
      </c>
      <c r="H24" s="54">
        <f>1+18+3+47</f>
        <v>69</v>
      </c>
      <c r="I24" s="54">
        <f>8+17+8+59</f>
        <v>92</v>
      </c>
      <c r="J24" s="54">
        <f>9+14+5+56</f>
        <v>84</v>
      </c>
      <c r="K24" s="54">
        <f>22+20+18+60</f>
        <v>120</v>
      </c>
      <c r="L24" s="55">
        <f>AVERAGE(C24:K24)</f>
        <v>80.111111111111114</v>
      </c>
      <c r="M24" s="55">
        <f>_xlfn.STDEV.S(C24:K24)</f>
        <v>17.503174315280965</v>
      </c>
      <c r="N24" s="55">
        <f t="shared" si="2"/>
        <v>66.657004454098484</v>
      </c>
      <c r="O24" s="55">
        <f t="shared" si="3"/>
        <v>93.565217768123745</v>
      </c>
    </row>
    <row r="25" spans="1:15" x14ac:dyDescent="0.3">
      <c r="A25" s="114"/>
      <c r="B25" s="30" t="s">
        <v>4</v>
      </c>
      <c r="C25" s="52">
        <f>(15+18+4+18)/C24*100</f>
        <v>76.388888888888886</v>
      </c>
      <c r="D25" s="52">
        <f>(7+28+10+21)/D24*100</f>
        <v>82.5</v>
      </c>
      <c r="E25" s="52">
        <f>(8+26+4+26)/E24*100</f>
        <v>85.333333333333343</v>
      </c>
      <c r="F25" s="52">
        <f>(6+5+7+5+29)/F24*100</f>
        <v>81.25</v>
      </c>
      <c r="G25" s="52">
        <f>(10+5+7+30)/G24*100</f>
        <v>80</v>
      </c>
      <c r="H25" s="52">
        <f>(16+2+41)/H24*100</f>
        <v>85.507246376811594</v>
      </c>
      <c r="I25" s="52">
        <f>(6+13+7+45)/I24*100</f>
        <v>77.173913043478265</v>
      </c>
      <c r="J25" s="52">
        <f>(7+9+5+47)/J24*100</f>
        <v>80.952380952380949</v>
      </c>
      <c r="K25" s="52">
        <f>(18+15+17+48)/K24*100</f>
        <v>81.666666666666671</v>
      </c>
      <c r="L25" s="31">
        <f t="shared" si="0"/>
        <v>81.196936584617731</v>
      </c>
      <c r="M25" s="31">
        <f t="shared" si="1"/>
        <v>3.130584821759141</v>
      </c>
      <c r="N25" s="31">
        <f t="shared" si="2"/>
        <v>78.790560384958866</v>
      </c>
      <c r="O25" s="31">
        <f t="shared" si="3"/>
        <v>83.603312784276596</v>
      </c>
    </row>
    <row r="26" spans="1:15" x14ac:dyDescent="0.3">
      <c r="A26" s="114"/>
      <c r="B26" s="30" t="s">
        <v>5</v>
      </c>
      <c r="C26" s="52">
        <f>(15+16+3+14)/C24*100</f>
        <v>66.666666666666657</v>
      </c>
      <c r="D26" s="52">
        <f>(6+25+9+18)/D24*100</f>
        <v>72.5</v>
      </c>
      <c r="E26" s="52">
        <f>(6+23+4+19)/E24*100</f>
        <v>69.333333333333343</v>
      </c>
      <c r="F26" s="52">
        <f>(5+4+5+4+24)/F24*100</f>
        <v>65.625</v>
      </c>
      <c r="G26" s="52">
        <f>(10+4+6+29)/G24*100</f>
        <v>75.384615384615387</v>
      </c>
      <c r="H26" s="52">
        <f>(13+2+38)/H24*100</f>
        <v>76.811594202898547</v>
      </c>
      <c r="I26" s="52">
        <f>(5+12+5+41)/I24*100</f>
        <v>68.478260869565219</v>
      </c>
      <c r="J26" s="52">
        <f>(5+8+5+45)/J24*100</f>
        <v>75</v>
      </c>
      <c r="K26" s="52" t="s">
        <v>7</v>
      </c>
      <c r="L26" s="31">
        <f t="shared" si="0"/>
        <v>71.224933807134889</v>
      </c>
      <c r="M26" s="31">
        <f t="shared" si="1"/>
        <v>4.2703306380345163</v>
      </c>
      <c r="N26" s="31">
        <f t="shared" si="2"/>
        <v>67.942472990032357</v>
      </c>
      <c r="O26" s="31">
        <f t="shared" si="3"/>
        <v>74.507394624237421</v>
      </c>
    </row>
    <row r="27" spans="1:15" x14ac:dyDescent="0.3">
      <c r="A27" s="114"/>
      <c r="B27" s="30" t="s">
        <v>20</v>
      </c>
      <c r="C27" s="52">
        <f>(14+15+3+14)/C24*100</f>
        <v>63.888888888888886</v>
      </c>
      <c r="D27" s="52">
        <f>(5+22+8+19)/D24*100</f>
        <v>67.5</v>
      </c>
      <c r="E27" s="52">
        <f>(5+21+3+18)/E24*100</f>
        <v>62.666666666666671</v>
      </c>
      <c r="F27" s="52">
        <f>(5+4+4+4+23)/F24*100</f>
        <v>62.5</v>
      </c>
      <c r="G27" s="52">
        <f>(7+4+6+25)/G24*100</f>
        <v>64.615384615384613</v>
      </c>
      <c r="H27" s="52">
        <f>(12+1+36)/H24*100</f>
        <v>71.014492753623188</v>
      </c>
      <c r="I27" s="52">
        <f>(5+12+3+40)/I24*100</f>
        <v>65.217391304347828</v>
      </c>
      <c r="J27" s="52" t="s">
        <v>7</v>
      </c>
      <c r="K27" s="52" t="s">
        <v>7</v>
      </c>
      <c r="L27" s="31">
        <f t="shared" si="0"/>
        <v>65.343260604130165</v>
      </c>
      <c r="M27" s="31">
        <f t="shared" si="1"/>
        <v>3.0200311396275112</v>
      </c>
      <c r="N27" s="31">
        <f t="shared" si="2"/>
        <v>63.02186333480315</v>
      </c>
      <c r="O27" s="31">
        <f t="shared" si="3"/>
        <v>67.664657873457173</v>
      </c>
    </row>
    <row r="28" spans="1:15" x14ac:dyDescent="0.3">
      <c r="A28" s="114"/>
      <c r="B28" s="30" t="s">
        <v>8</v>
      </c>
      <c r="C28" s="52">
        <f>(12+11+3+12)/C24*100</f>
        <v>52.777777777777779</v>
      </c>
      <c r="D28" s="52">
        <f>(5+16+7+12)/D24*100</f>
        <v>50</v>
      </c>
      <c r="E28" s="52">
        <f>(6+15+3+12)/E24*100</f>
        <v>48</v>
      </c>
      <c r="F28" s="52">
        <f>(1+3+3+3+19)/F24*100</f>
        <v>45.3125</v>
      </c>
      <c r="G28" s="52">
        <f>(6+3+5+19)/G24*100</f>
        <v>50.769230769230766</v>
      </c>
      <c r="H28" s="52">
        <f>(11+1+29)/H24*100</f>
        <v>59.420289855072461</v>
      </c>
      <c r="I28" s="53">
        <f>(1+1)/I24*100</f>
        <v>2.1739130434782608</v>
      </c>
      <c r="J28" s="53">
        <f>(1)/J24*100</f>
        <v>1.1904761904761905</v>
      </c>
      <c r="K28" s="52" t="s">
        <v>7</v>
      </c>
      <c r="L28" s="31">
        <f>AVERAGE(C28:H28)</f>
        <v>51.046633067013495</v>
      </c>
      <c r="M28" s="31">
        <f>_xlfn.STDEV.S(C28:H28)</f>
        <v>4.825963901664247</v>
      </c>
      <c r="N28" s="31">
        <f t="shared" si="2"/>
        <v>47.337075481267576</v>
      </c>
      <c r="O28" s="31">
        <f t="shared" si="3"/>
        <v>54.756190652759415</v>
      </c>
    </row>
    <row r="29" spans="1:15" x14ac:dyDescent="0.3">
      <c r="A29" s="114"/>
      <c r="B29" s="30" t="s">
        <v>9</v>
      </c>
      <c r="C29" s="52">
        <f>(14+15+3+13)/C24*100</f>
        <v>62.5</v>
      </c>
      <c r="D29" s="52">
        <f>(5+19+7+14)/D24*100</f>
        <v>56.25</v>
      </c>
      <c r="E29" s="52">
        <f>(6+17+3+16)/E24*100</f>
        <v>56.000000000000007</v>
      </c>
      <c r="F29" s="52">
        <f>(3+3+5+3+20)/F24*100</f>
        <v>53.125</v>
      </c>
      <c r="G29" s="52">
        <f>(7+3+6+25)/G24*100</f>
        <v>63.076923076923073</v>
      </c>
      <c r="H29" s="52" t="s">
        <v>7</v>
      </c>
      <c r="I29" s="52" t="s">
        <v>7</v>
      </c>
      <c r="J29" s="52" t="s">
        <v>7</v>
      </c>
      <c r="K29" s="52" t="s">
        <v>7</v>
      </c>
      <c r="L29" s="31">
        <f t="shared" si="0"/>
        <v>58.190384615384616</v>
      </c>
      <c r="M29" s="31">
        <f t="shared" si="1"/>
        <v>4.3781286361903033</v>
      </c>
      <c r="N29" s="31">
        <f t="shared" si="2"/>
        <v>54.825063070366333</v>
      </c>
      <c r="O29" s="31">
        <f t="shared" si="3"/>
        <v>61.555706160402899</v>
      </c>
    </row>
    <row r="30" spans="1:15" x14ac:dyDescent="0.3">
      <c r="A30" s="115"/>
      <c r="B30" s="30" t="s">
        <v>6</v>
      </c>
      <c r="C30" s="52">
        <f>(14+15+3+13)/C24*100</f>
        <v>62.5</v>
      </c>
      <c r="D30" s="52">
        <f>(6+19+7+15)/D24*100</f>
        <v>58.75</v>
      </c>
      <c r="E30" s="52">
        <f>(6+19+3+16)/E24*100</f>
        <v>58.666666666666664</v>
      </c>
      <c r="F30" s="52">
        <f>(3+3+5+3+20)/F24*100</f>
        <v>53.125</v>
      </c>
      <c r="G30" s="52" t="s">
        <v>7</v>
      </c>
      <c r="H30" s="52" t="s">
        <v>7</v>
      </c>
      <c r="I30" s="52" t="s">
        <v>7</v>
      </c>
      <c r="J30" s="52" t="s">
        <v>7</v>
      </c>
      <c r="K30" s="52" t="s">
        <v>7</v>
      </c>
      <c r="L30" s="31">
        <f t="shared" si="0"/>
        <v>58.260416666666664</v>
      </c>
      <c r="M30" s="31">
        <f t="shared" si="1"/>
        <v>3.8622662640533267</v>
      </c>
      <c r="N30" s="31">
        <f t="shared" si="2"/>
        <v>55.291621331697677</v>
      </c>
      <c r="O30" s="31">
        <f t="shared" si="3"/>
        <v>61.229212001635652</v>
      </c>
    </row>
    <row r="31" spans="1:15" x14ac:dyDescent="0.3">
      <c r="A31" s="9" t="s">
        <v>25</v>
      </c>
      <c r="B31" s="9"/>
    </row>
  </sheetData>
  <mergeCells count="7">
    <mergeCell ref="A6:C6"/>
    <mergeCell ref="A10:A16"/>
    <mergeCell ref="A17:A23"/>
    <mergeCell ref="A24:A30"/>
    <mergeCell ref="N8:O8"/>
    <mergeCell ref="L8:M8"/>
    <mergeCell ref="C8:K8"/>
  </mergeCells>
  <pageMargins left="0.7" right="0.7" top="0.75" bottom="0.75" header="0.3" footer="0.3"/>
  <pageSetup paperSize="9" orientation="portrait" r:id="rId1"/>
  <ignoredErrors>
    <ignoredError sqref="L14:M14" formula="1"/>
    <ignoredError sqref="L21:M21 L28:M28" formula="1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90" zoomScaleNormal="90" workbookViewId="0">
      <selection activeCell="H5" sqref="H5"/>
    </sheetView>
  </sheetViews>
  <sheetFormatPr defaultColWidth="11.5546875" defaultRowHeight="15.6" x14ac:dyDescent="0.3"/>
  <cols>
    <col min="2" max="2" width="20" bestFit="1" customWidth="1"/>
  </cols>
  <sheetData>
    <row r="1" spans="1:15" x14ac:dyDescent="0.3">
      <c r="A1" s="4" t="s">
        <v>69</v>
      </c>
    </row>
    <row r="2" spans="1:15" x14ac:dyDescent="0.3">
      <c r="A2" s="4" t="s">
        <v>130</v>
      </c>
    </row>
    <row r="3" spans="1:15" x14ac:dyDescent="0.3">
      <c r="A3" s="4" t="s">
        <v>70</v>
      </c>
    </row>
    <row r="4" spans="1:15" x14ac:dyDescent="0.3">
      <c r="A4" s="4" t="s">
        <v>122</v>
      </c>
    </row>
    <row r="6" spans="1:15" x14ac:dyDescent="0.3">
      <c r="A6" s="123" t="s">
        <v>15</v>
      </c>
      <c r="B6" s="124"/>
      <c r="C6" s="124"/>
    </row>
    <row r="9" spans="1:15" x14ac:dyDescent="0.3">
      <c r="A9" s="11"/>
      <c r="B9" s="11"/>
      <c r="C9" s="120" t="s">
        <v>73</v>
      </c>
      <c r="D9" s="122"/>
      <c r="E9" s="122"/>
      <c r="F9" s="122"/>
      <c r="G9" s="122"/>
      <c r="H9" s="122"/>
      <c r="I9" s="122"/>
      <c r="J9" s="122"/>
      <c r="K9" s="121"/>
      <c r="L9" s="120" t="s">
        <v>13</v>
      </c>
      <c r="M9" s="121"/>
      <c r="N9" s="119" t="s">
        <v>81</v>
      </c>
      <c r="O9" s="119"/>
    </row>
    <row r="10" spans="1:15" x14ac:dyDescent="0.3">
      <c r="A10" s="10" t="s">
        <v>71</v>
      </c>
      <c r="B10" s="10" t="s">
        <v>0</v>
      </c>
      <c r="C10" s="10">
        <v>2004</v>
      </c>
      <c r="D10" s="10">
        <v>2005</v>
      </c>
      <c r="E10" s="10">
        <v>2006</v>
      </c>
      <c r="F10" s="10">
        <v>2007</v>
      </c>
      <c r="G10" s="10">
        <v>2008</v>
      </c>
      <c r="H10" s="10">
        <v>2009</v>
      </c>
      <c r="I10" s="10">
        <v>2010</v>
      </c>
      <c r="J10" s="10">
        <v>2011</v>
      </c>
      <c r="K10" s="10">
        <v>2012</v>
      </c>
      <c r="L10" s="10" t="s">
        <v>11</v>
      </c>
      <c r="M10" s="10" t="s">
        <v>72</v>
      </c>
      <c r="N10" s="10" t="s">
        <v>78</v>
      </c>
      <c r="O10" s="10" t="s">
        <v>79</v>
      </c>
    </row>
    <row r="11" spans="1:15" x14ac:dyDescent="0.3">
      <c r="A11" s="125" t="s">
        <v>75</v>
      </c>
      <c r="B11" s="60" t="s">
        <v>80</v>
      </c>
      <c r="C11" s="61">
        <v>9</v>
      </c>
      <c r="D11" s="61">
        <v>20</v>
      </c>
      <c r="E11" s="61">
        <v>17</v>
      </c>
      <c r="F11" s="61">
        <v>13</v>
      </c>
      <c r="G11" s="61">
        <f>14+9+8+4</f>
        <v>35</v>
      </c>
      <c r="H11" s="61">
        <f>(10+12+7+1)</f>
        <v>30</v>
      </c>
      <c r="I11" s="61">
        <f>21+6+2+10</f>
        <v>39</v>
      </c>
      <c r="J11" s="61">
        <f>18+8+6+1</f>
        <v>33</v>
      </c>
      <c r="K11" s="61">
        <f>18+18+3</f>
        <v>39</v>
      </c>
      <c r="L11" s="62">
        <f>AVERAGE(C11:K11)</f>
        <v>26.111111111111111</v>
      </c>
      <c r="M11" s="62">
        <f>_xlfn.STDEV.S(C11:K11)</f>
        <v>11.504829903614876</v>
      </c>
      <c r="N11" s="62">
        <f>(L11-(2.306*(M11/SQRT(9))))</f>
        <v>17.267731858532475</v>
      </c>
      <c r="O11" s="62">
        <f>(L11+(2.306*(M11/SQRT(9))))</f>
        <v>34.954490363689743</v>
      </c>
    </row>
    <row r="12" spans="1:15" x14ac:dyDescent="0.3">
      <c r="A12" s="126"/>
      <c r="B12" s="63" t="s">
        <v>4</v>
      </c>
      <c r="C12" s="64">
        <f>8/C11*100</f>
        <v>88.888888888888886</v>
      </c>
      <c r="D12" s="64">
        <f>17/D11*100</f>
        <v>85</v>
      </c>
      <c r="E12" s="64">
        <f>14/E11*100</f>
        <v>82.35294117647058</v>
      </c>
      <c r="F12" s="64">
        <f>11/F11*100</f>
        <v>84.615384615384613</v>
      </c>
      <c r="G12" s="64">
        <f>(12+8+6+2)/G11*100</f>
        <v>80</v>
      </c>
      <c r="H12" s="64">
        <f>(9+12+7+1)/H11*100</f>
        <v>96.666666666666671</v>
      </c>
      <c r="I12" s="64">
        <f>(17+6+2+9)/I11*100</f>
        <v>87.179487179487182</v>
      </c>
      <c r="J12" s="64">
        <f>(13+4+6+0)/J11*100</f>
        <v>69.696969696969703</v>
      </c>
      <c r="K12" s="64">
        <f>(15+17+2)/K11*100</f>
        <v>87.179487179487182</v>
      </c>
      <c r="L12" s="65">
        <f t="shared" ref="L12:L23" si="0">AVERAGE(C12:K12)</f>
        <v>84.619980600372756</v>
      </c>
      <c r="M12" s="65">
        <f t="shared" ref="M12:M23" si="1">_xlfn.STDEV.S(C12:K12)</f>
        <v>7.2953131341316197</v>
      </c>
      <c r="N12" s="65">
        <f>(L12-(2.306*(M12/SQRT(9))))</f>
        <v>79.012316571270247</v>
      </c>
      <c r="O12" s="65">
        <f>(L12+(2.306*(M12/SQRT(9))))</f>
        <v>90.227644629475265</v>
      </c>
    </row>
    <row r="13" spans="1:15" x14ac:dyDescent="0.3">
      <c r="A13" s="126"/>
      <c r="B13" s="63" t="s">
        <v>5</v>
      </c>
      <c r="C13" s="64">
        <f>8/C11*100</f>
        <v>88.888888888888886</v>
      </c>
      <c r="D13" s="64">
        <f>15/D11*100</f>
        <v>75</v>
      </c>
      <c r="E13" s="64">
        <f>13/E11*100</f>
        <v>76.470588235294116</v>
      </c>
      <c r="F13" s="64">
        <f>9/F11*100</f>
        <v>69.230769230769226</v>
      </c>
      <c r="G13" s="64">
        <f>(11+8+5+2)/G11*100</f>
        <v>74.285714285714292</v>
      </c>
      <c r="H13" s="64">
        <f>(6+10+7+1)/H11*100</f>
        <v>80</v>
      </c>
      <c r="I13" s="64">
        <f>(14+6+2+9)/I11*100</f>
        <v>79.487179487179489</v>
      </c>
      <c r="J13" s="64">
        <f>(13+3+6)/J11*100</f>
        <v>66.666666666666657</v>
      </c>
      <c r="K13" s="64" t="s">
        <v>7</v>
      </c>
      <c r="L13" s="65">
        <f t="shared" si="0"/>
        <v>76.25372584931408</v>
      </c>
      <c r="M13" s="65">
        <f t="shared" si="1"/>
        <v>6.8750344230687395</v>
      </c>
      <c r="N13" s="65">
        <f t="shared" ref="N13:N24" si="2">(L13-(2.306*(M13/SQRT(9))))</f>
        <v>70.96911605611524</v>
      </c>
      <c r="O13" s="65">
        <f t="shared" ref="O13:O24" si="3">(L13+(2.306*(M13/SQRT(9))))</f>
        <v>81.538335642512919</v>
      </c>
    </row>
    <row r="14" spans="1:15" x14ac:dyDescent="0.3">
      <c r="A14" s="126"/>
      <c r="B14" s="63" t="s">
        <v>20</v>
      </c>
      <c r="C14" s="64">
        <f>8/C11*100</f>
        <v>88.888888888888886</v>
      </c>
      <c r="D14" s="64">
        <f>13/D11*100</f>
        <v>65</v>
      </c>
      <c r="E14" s="64">
        <f>11/E11*100</f>
        <v>64.705882352941174</v>
      </c>
      <c r="F14" s="64">
        <f>9/F11*100</f>
        <v>69.230769230769226</v>
      </c>
      <c r="G14" s="64">
        <f>(12+7+6+2)/G11*100</f>
        <v>77.142857142857153</v>
      </c>
      <c r="H14" s="64">
        <f>(6+6+7+1)/H11*100</f>
        <v>66.666666666666657</v>
      </c>
      <c r="I14" s="64">
        <f>(14+4+2+7)/I11*100</f>
        <v>69.230769230769226</v>
      </c>
      <c r="J14" s="64" t="s">
        <v>7</v>
      </c>
      <c r="K14" s="64" t="s">
        <v>7</v>
      </c>
      <c r="L14" s="65">
        <f t="shared" si="0"/>
        <v>71.552261930413195</v>
      </c>
      <c r="M14" s="65">
        <f t="shared" si="1"/>
        <v>8.7203415131944038</v>
      </c>
      <c r="N14" s="65">
        <f t="shared" si="2"/>
        <v>64.849226087271092</v>
      </c>
      <c r="O14" s="65">
        <f t="shared" si="3"/>
        <v>78.255297773555299</v>
      </c>
    </row>
    <row r="15" spans="1:15" x14ac:dyDescent="0.3">
      <c r="A15" s="126"/>
      <c r="B15" s="63" t="s">
        <v>8</v>
      </c>
      <c r="C15" s="64">
        <f>5/C11*100</f>
        <v>55.555555555555557</v>
      </c>
      <c r="D15" s="64">
        <f>9/D11*100</f>
        <v>45</v>
      </c>
      <c r="E15" s="64">
        <f>7/E11*100</f>
        <v>41.17647058823529</v>
      </c>
      <c r="F15" s="64">
        <f>8/F11*100</f>
        <v>61.53846153846154</v>
      </c>
      <c r="G15" s="64">
        <f>(12+7+5+1)/G11*100</f>
        <v>71.428571428571431</v>
      </c>
      <c r="H15" s="64">
        <f>(6+8+6+1)/H11*100</f>
        <v>70</v>
      </c>
      <c r="I15" s="66">
        <f>1/I11*100</f>
        <v>2.5641025641025639</v>
      </c>
      <c r="J15" s="64" t="s">
        <v>7</v>
      </c>
      <c r="K15" s="64" t="s">
        <v>7</v>
      </c>
      <c r="L15" s="65">
        <f>AVERAGE(C15:H15)</f>
        <v>57.449843185137304</v>
      </c>
      <c r="M15" s="65">
        <f>_xlfn.STDEV.S(C15:H15)</f>
        <v>12.593948197894589</v>
      </c>
      <c r="N15" s="65">
        <f t="shared" si="2"/>
        <v>47.769295003688995</v>
      </c>
      <c r="O15" s="65">
        <f t="shared" si="3"/>
        <v>67.130391366585613</v>
      </c>
    </row>
    <row r="16" spans="1:15" x14ac:dyDescent="0.3">
      <c r="A16" s="126"/>
      <c r="B16" s="63" t="s">
        <v>9</v>
      </c>
      <c r="C16" s="64">
        <f>5/C11*100</f>
        <v>55.555555555555557</v>
      </c>
      <c r="D16" s="64">
        <f>11/D11*100</f>
        <v>55.000000000000007</v>
      </c>
      <c r="E16" s="64">
        <f>9/E11*100</f>
        <v>52.941176470588239</v>
      </c>
      <c r="F16" s="64">
        <f>8/F11*100</f>
        <v>61.53846153846154</v>
      </c>
      <c r="G16" s="64">
        <f>(12+7+5+2)/G11*100</f>
        <v>74.285714285714292</v>
      </c>
      <c r="H16" s="64" t="s">
        <v>7</v>
      </c>
      <c r="I16" s="64" t="s">
        <v>7</v>
      </c>
      <c r="J16" s="64" t="s">
        <v>7</v>
      </c>
      <c r="K16" s="64" t="s">
        <v>7</v>
      </c>
      <c r="L16" s="65">
        <f t="shared" si="0"/>
        <v>59.864181570063934</v>
      </c>
      <c r="M16" s="65">
        <f t="shared" si="1"/>
        <v>8.6737584034828803</v>
      </c>
      <c r="N16" s="65">
        <f t="shared" si="2"/>
        <v>53.196952610586763</v>
      </c>
      <c r="O16" s="65">
        <f t="shared" si="3"/>
        <v>66.531410529541105</v>
      </c>
    </row>
    <row r="17" spans="1:15" x14ac:dyDescent="0.3">
      <c r="A17" s="127"/>
      <c r="B17" s="63" t="s">
        <v>6</v>
      </c>
      <c r="C17" s="64">
        <f>8/C11*100</f>
        <v>88.888888888888886</v>
      </c>
      <c r="D17" s="64">
        <f>12/D11*100</f>
        <v>60</v>
      </c>
      <c r="E17" s="64">
        <f>10/E11*100</f>
        <v>58.82352941176471</v>
      </c>
      <c r="F17" s="64">
        <f>8/F11*100</f>
        <v>61.53846153846154</v>
      </c>
      <c r="G17" s="64" t="s">
        <v>7</v>
      </c>
      <c r="H17" s="64" t="s">
        <v>7</v>
      </c>
      <c r="I17" s="64" t="s">
        <v>7</v>
      </c>
      <c r="J17" s="64" t="s">
        <v>7</v>
      </c>
      <c r="K17" s="64" t="s">
        <v>7</v>
      </c>
      <c r="L17" s="65">
        <f t="shared" si="0"/>
        <v>67.312719959778789</v>
      </c>
      <c r="M17" s="65">
        <f t="shared" si="1"/>
        <v>14.427004255264828</v>
      </c>
      <c r="N17" s="65">
        <f t="shared" si="2"/>
        <v>56.223162688898555</v>
      </c>
      <c r="O17" s="65">
        <f t="shared" si="3"/>
        <v>78.402277230659024</v>
      </c>
    </row>
    <row r="18" spans="1:15" x14ac:dyDescent="0.3">
      <c r="A18" s="104" t="s">
        <v>76</v>
      </c>
      <c r="B18" s="67" t="s">
        <v>80</v>
      </c>
      <c r="C18" s="67">
        <f>15+23+17+2</f>
        <v>57</v>
      </c>
      <c r="D18" s="67">
        <f>8+26+11+4</f>
        <v>49</v>
      </c>
      <c r="E18" s="67">
        <f>12+8+4+9+4</f>
        <v>37</v>
      </c>
      <c r="F18" s="67">
        <f>10+12+3+9+4</f>
        <v>38</v>
      </c>
      <c r="G18" s="67">
        <f>9+3+19+3+4+2</f>
        <v>40</v>
      </c>
      <c r="H18" s="67">
        <f>2+16+16+3+5+3</f>
        <v>45</v>
      </c>
      <c r="I18" s="67">
        <f>2+5+18+1+5+4</f>
        <v>35</v>
      </c>
      <c r="J18" s="67">
        <f>7+9+2+9+4</f>
        <v>31</v>
      </c>
      <c r="K18" s="67">
        <f>18+25+6+5+2</f>
        <v>56</v>
      </c>
      <c r="L18" s="68">
        <f>AVERAGE(C18:K18)</f>
        <v>43.111111111111114</v>
      </c>
      <c r="M18" s="68">
        <f>_xlfn.STDEV.S(C18:K18)</f>
        <v>9.2391077010234763</v>
      </c>
      <c r="N18" s="68">
        <f t="shared" si="2"/>
        <v>36.009316991591071</v>
      </c>
      <c r="O18" s="68">
        <f t="shared" si="3"/>
        <v>50.212905230631158</v>
      </c>
    </row>
    <row r="19" spans="1:15" x14ac:dyDescent="0.3">
      <c r="A19" s="105"/>
      <c r="B19" s="32" t="s">
        <v>4</v>
      </c>
      <c r="C19" s="56">
        <f>(13+19+15+2)/C18*100</f>
        <v>85.964912280701753</v>
      </c>
      <c r="D19" s="56">
        <f>(7+23+10+4)/D18*100</f>
        <v>89.795918367346943</v>
      </c>
      <c r="E19" s="56">
        <f>(10+6+3+8+4)/E18*100</f>
        <v>83.78378378378379</v>
      </c>
      <c r="F19" s="56">
        <f>(8+11+2+8+3)/F18*100</f>
        <v>84.210526315789465</v>
      </c>
      <c r="G19" s="56">
        <f>(8+3+17+3+3+2)/G18*100</f>
        <v>90</v>
      </c>
      <c r="H19" s="56">
        <f>(2+11+15+2+5+2)/H18*100</f>
        <v>82.222222222222214</v>
      </c>
      <c r="I19" s="56">
        <f>(1+5+14+5+3)/I18*100</f>
        <v>80</v>
      </c>
      <c r="J19" s="56">
        <f>(7+8+2+9+3)/J18*100</f>
        <v>93.548387096774192</v>
      </c>
      <c r="K19" s="56">
        <f>(17+18+5+4+2)/K18*100</f>
        <v>82.142857142857139</v>
      </c>
      <c r="L19" s="33">
        <f t="shared" si="0"/>
        <v>85.740956356608379</v>
      </c>
      <c r="M19" s="33">
        <f t="shared" si="1"/>
        <v>4.4727987466169008</v>
      </c>
      <c r="N19" s="33">
        <f t="shared" si="2"/>
        <v>82.302865053375527</v>
      </c>
      <c r="O19" s="33">
        <f t="shared" si="3"/>
        <v>89.179047659841231</v>
      </c>
    </row>
    <row r="20" spans="1:15" x14ac:dyDescent="0.3">
      <c r="A20" s="105"/>
      <c r="B20" s="32" t="s">
        <v>5</v>
      </c>
      <c r="C20" s="56">
        <f>(10+17+14+2)/C18*100</f>
        <v>75.438596491228068</v>
      </c>
      <c r="D20" s="56">
        <f>(7+22+10+4)/D18*100</f>
        <v>87.755102040816325</v>
      </c>
      <c r="E20" s="56">
        <f>(10+6+3+8+4)/E18*100</f>
        <v>83.78378378378379</v>
      </c>
      <c r="F20" s="56">
        <f>(8+11+2+8+3)/F18*100</f>
        <v>84.210526315789465</v>
      </c>
      <c r="G20" s="56">
        <f>(8+2+15+3+3+2)/G18*100</f>
        <v>82.5</v>
      </c>
      <c r="H20" s="56">
        <f>(2+9+14+2+4+2)/H18*100</f>
        <v>73.333333333333329</v>
      </c>
      <c r="I20" s="56">
        <f>(4+14+5+3)/I18*100</f>
        <v>74.285714285714292</v>
      </c>
      <c r="J20" s="56">
        <f>(6+8+2+7+3)/J18*100</f>
        <v>83.870967741935488</v>
      </c>
      <c r="K20" s="56" t="s">
        <v>7</v>
      </c>
      <c r="L20" s="33">
        <f t="shared" si="0"/>
        <v>80.647252999075093</v>
      </c>
      <c r="M20" s="33">
        <f t="shared" si="1"/>
        <v>5.4507400098025602</v>
      </c>
      <c r="N20" s="33">
        <f t="shared" si="2"/>
        <v>76.45745084487352</v>
      </c>
      <c r="O20" s="33">
        <f t="shared" si="3"/>
        <v>84.837055153276665</v>
      </c>
    </row>
    <row r="21" spans="1:15" x14ac:dyDescent="0.3">
      <c r="A21" s="105"/>
      <c r="B21" s="32" t="s">
        <v>20</v>
      </c>
      <c r="C21" s="56">
        <f>(9+13+12+2)/C18*100</f>
        <v>63.157894736842103</v>
      </c>
      <c r="D21" s="56">
        <f>(7+21+10+4)/D18*100</f>
        <v>85.714285714285708</v>
      </c>
      <c r="E21" s="56">
        <f>(8+6+3+7+3)/E18*100</f>
        <v>72.972972972972968</v>
      </c>
      <c r="F21" s="56">
        <f>(8+11+2+8+3)/F18*100</f>
        <v>84.210526315789465</v>
      </c>
      <c r="G21" s="56">
        <f>(8+2+15+3+3+2)/G18*100</f>
        <v>82.5</v>
      </c>
      <c r="H21" s="56">
        <f>(2+9+13+2+4+2)/H18*100</f>
        <v>71.111111111111114</v>
      </c>
      <c r="I21" s="56">
        <f>(4+12+5+3)/I18*100</f>
        <v>68.571428571428569</v>
      </c>
      <c r="J21" s="56" t="s">
        <v>7</v>
      </c>
      <c r="K21" s="56" t="s">
        <v>7</v>
      </c>
      <c r="L21" s="33">
        <f t="shared" si="0"/>
        <v>75.462602774632842</v>
      </c>
      <c r="M21" s="33">
        <f t="shared" si="1"/>
        <v>8.709917595533442</v>
      </c>
      <c r="N21" s="33">
        <f t="shared" si="2"/>
        <v>68.767579449532803</v>
      </c>
      <c r="O21" s="33">
        <f t="shared" si="3"/>
        <v>82.15762609973288</v>
      </c>
    </row>
    <row r="22" spans="1:15" x14ac:dyDescent="0.3">
      <c r="A22" s="105"/>
      <c r="B22" s="32" t="s">
        <v>8</v>
      </c>
      <c r="C22" s="56">
        <f>(4+11+11+1)/C18*100</f>
        <v>47.368421052631575</v>
      </c>
      <c r="D22" s="56">
        <f>(3+17+6+3)/D18*100</f>
        <v>59.183673469387756</v>
      </c>
      <c r="E22" s="56">
        <f>(6+3+2+5+3)/E18*100</f>
        <v>51.351351351351347</v>
      </c>
      <c r="F22" s="56">
        <f>(5+7+2+7)/F18*100</f>
        <v>55.26315789473685</v>
      </c>
      <c r="G22" s="56">
        <f>(4+3+11+3+2+1)/G18*100</f>
        <v>60</v>
      </c>
      <c r="H22" s="56">
        <f>(5+7+3+2)/H18*100</f>
        <v>37.777777777777779</v>
      </c>
      <c r="I22" s="56" t="s">
        <v>7</v>
      </c>
      <c r="J22" s="56" t="s">
        <v>7</v>
      </c>
      <c r="K22" s="56" t="s">
        <v>7</v>
      </c>
      <c r="L22" s="33">
        <f>AVERAGE(C22:K22)</f>
        <v>51.824063590980877</v>
      </c>
      <c r="M22" s="33">
        <f>_xlfn.STDEV.S(C22:K22)</f>
        <v>8.3691279807878836</v>
      </c>
      <c r="N22" s="33">
        <f t="shared" si="2"/>
        <v>45.390993883081926</v>
      </c>
      <c r="O22" s="33">
        <f t="shared" si="3"/>
        <v>58.257133298879829</v>
      </c>
    </row>
    <row r="23" spans="1:15" x14ac:dyDescent="0.3">
      <c r="A23" s="105"/>
      <c r="B23" s="32" t="s">
        <v>9</v>
      </c>
      <c r="C23" s="56">
        <f>(9+12+11+2)/C18*100</f>
        <v>59.649122807017541</v>
      </c>
      <c r="D23" s="56">
        <f>(6+20+6+3)/D18*100</f>
        <v>71.428571428571431</v>
      </c>
      <c r="E23" s="56">
        <f>(7+4+2+7+3)/E18*100</f>
        <v>62.162162162162161</v>
      </c>
      <c r="F23" s="56">
        <f>(6+8+2+8+1)/F18*100</f>
        <v>65.789473684210535</v>
      </c>
      <c r="G23" s="56">
        <f>(7+3+12+3+2+1)/G18*100</f>
        <v>70</v>
      </c>
      <c r="H23" s="56" t="s">
        <v>7</v>
      </c>
      <c r="I23" s="56" t="s">
        <v>7</v>
      </c>
      <c r="J23" s="56" t="s">
        <v>7</v>
      </c>
      <c r="K23" s="56" t="s">
        <v>7</v>
      </c>
      <c r="L23" s="33">
        <f t="shared" si="0"/>
        <v>65.805866016392343</v>
      </c>
      <c r="M23" s="33">
        <f t="shared" si="1"/>
        <v>5.0096883500041596</v>
      </c>
      <c r="N23" s="33">
        <f t="shared" si="2"/>
        <v>61.955085571355809</v>
      </c>
      <c r="O23" s="33">
        <f t="shared" si="3"/>
        <v>69.656646461428878</v>
      </c>
    </row>
    <row r="24" spans="1:15" x14ac:dyDescent="0.3">
      <c r="A24" s="106"/>
      <c r="B24" s="32" t="s">
        <v>6</v>
      </c>
      <c r="C24" s="56">
        <f>(9+13+11+2)/C18*100</f>
        <v>61.403508771929829</v>
      </c>
      <c r="D24" s="56">
        <f>(6+21+6+3)/D18*100</f>
        <v>73.469387755102048</v>
      </c>
      <c r="E24" s="56">
        <f>(7+5+2+7+3)/E18*100</f>
        <v>64.86486486486487</v>
      </c>
      <c r="F24" s="56" t="s">
        <v>7</v>
      </c>
      <c r="G24" s="56" t="s">
        <v>7</v>
      </c>
      <c r="H24" s="56" t="s">
        <v>7</v>
      </c>
      <c r="I24" s="56" t="s">
        <v>7</v>
      </c>
      <c r="J24" s="56" t="s">
        <v>7</v>
      </c>
      <c r="K24" s="56" t="s">
        <v>7</v>
      </c>
      <c r="L24" s="33">
        <f>AVERAGE(C24:K24)</f>
        <v>66.579253797298918</v>
      </c>
      <c r="M24" s="33">
        <f>_xlfn.STDEV.S(C24:K24)</f>
        <v>6.2129466413191192</v>
      </c>
      <c r="N24" s="33">
        <f t="shared" si="2"/>
        <v>61.803568812338291</v>
      </c>
      <c r="O24" s="33">
        <f t="shared" si="3"/>
        <v>71.354938782259552</v>
      </c>
    </row>
    <row r="25" spans="1:15" x14ac:dyDescent="0.3">
      <c r="A25" s="9" t="s">
        <v>25</v>
      </c>
    </row>
  </sheetData>
  <mergeCells count="6">
    <mergeCell ref="A6:C6"/>
    <mergeCell ref="A18:A24"/>
    <mergeCell ref="C9:K9"/>
    <mergeCell ref="L9:M9"/>
    <mergeCell ref="N9:O9"/>
    <mergeCell ref="A11:A1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2" workbookViewId="0">
      <selection activeCell="F4" sqref="F4"/>
    </sheetView>
  </sheetViews>
  <sheetFormatPr defaultColWidth="11.5546875" defaultRowHeight="15.6" x14ac:dyDescent="0.3"/>
  <cols>
    <col min="2" max="2" width="20" bestFit="1" customWidth="1"/>
  </cols>
  <sheetData>
    <row r="1" spans="1:15" x14ac:dyDescent="0.3">
      <c r="A1" s="4" t="s">
        <v>69</v>
      </c>
    </row>
    <row r="2" spans="1:15" x14ac:dyDescent="0.3">
      <c r="A2" s="4" t="s">
        <v>129</v>
      </c>
    </row>
    <row r="3" spans="1:15" x14ac:dyDescent="0.3">
      <c r="A3" s="4" t="s">
        <v>70</v>
      </c>
    </row>
    <row r="4" spans="1:15" x14ac:dyDescent="0.3">
      <c r="A4" s="4" t="s">
        <v>122</v>
      </c>
    </row>
    <row r="6" spans="1:15" x14ac:dyDescent="0.3">
      <c r="A6" s="128" t="s">
        <v>77</v>
      </c>
      <c r="B6" s="129"/>
    </row>
    <row r="8" spans="1:15" x14ac:dyDescent="0.3">
      <c r="A8" s="11"/>
      <c r="B8" s="11"/>
      <c r="C8" s="120" t="s">
        <v>73</v>
      </c>
      <c r="D8" s="122"/>
      <c r="E8" s="122"/>
      <c r="F8" s="122"/>
      <c r="G8" s="122"/>
      <c r="H8" s="122"/>
      <c r="I8" s="122"/>
      <c r="J8" s="122"/>
      <c r="K8" s="121"/>
      <c r="L8" s="120" t="s">
        <v>13</v>
      </c>
      <c r="M8" s="121"/>
      <c r="N8" s="119" t="s">
        <v>81</v>
      </c>
      <c r="O8" s="119"/>
    </row>
    <row r="9" spans="1:15" x14ac:dyDescent="0.3">
      <c r="A9" s="10" t="s">
        <v>71</v>
      </c>
      <c r="B9" s="10" t="s">
        <v>0</v>
      </c>
      <c r="C9" s="10">
        <v>2004</v>
      </c>
      <c r="D9" s="10">
        <v>2005</v>
      </c>
      <c r="E9" s="10">
        <v>2006</v>
      </c>
      <c r="F9" s="10">
        <v>2007</v>
      </c>
      <c r="G9" s="10">
        <v>2008</v>
      </c>
      <c r="H9" s="10">
        <v>2009</v>
      </c>
      <c r="I9" s="10">
        <v>2010</v>
      </c>
      <c r="J9" s="10">
        <v>2011</v>
      </c>
      <c r="K9" s="10">
        <v>2012</v>
      </c>
      <c r="L9" s="10" t="s">
        <v>11</v>
      </c>
      <c r="M9" s="10" t="s">
        <v>72</v>
      </c>
      <c r="N9" s="10" t="s">
        <v>78</v>
      </c>
      <c r="O9" s="10" t="s">
        <v>79</v>
      </c>
    </row>
    <row r="10" spans="1:15" x14ac:dyDescent="0.3">
      <c r="A10" s="130" t="s">
        <v>74</v>
      </c>
      <c r="B10" s="48" t="s">
        <v>80</v>
      </c>
      <c r="C10" s="48">
        <f>5+8</f>
        <v>13</v>
      </c>
      <c r="D10" s="48">
        <f>9+5</f>
        <v>14</v>
      </c>
      <c r="E10" s="48">
        <f>5+9</f>
        <v>14</v>
      </c>
      <c r="F10" s="48">
        <f>6+3+12</f>
        <v>21</v>
      </c>
      <c r="G10" s="48">
        <f>6+7+3</f>
        <v>16</v>
      </c>
      <c r="H10" s="48">
        <f>3+7+15+9</f>
        <v>34</v>
      </c>
      <c r="I10" s="48">
        <f>7+7+8+8</f>
        <v>30</v>
      </c>
      <c r="J10" s="48">
        <f>6+9+4+7</f>
        <v>26</v>
      </c>
      <c r="K10" s="48">
        <f>8+3+8+14</f>
        <v>33</v>
      </c>
      <c r="L10" s="49">
        <f>AVERAGE(C10:K10)</f>
        <v>22.333333333333332</v>
      </c>
      <c r="M10" s="49">
        <f>_xlfn.STDEV.S(C10:K10)</f>
        <v>8.5877820186588334</v>
      </c>
      <c r="N10" s="49">
        <f>(L10-(2.306*(M10/SQRT(9))))</f>
        <v>15.732191554990909</v>
      </c>
      <c r="O10" s="49">
        <f>(L10+(2.306*(M10/SQRT(9))))</f>
        <v>28.934475111675756</v>
      </c>
    </row>
    <row r="11" spans="1:15" x14ac:dyDescent="0.3">
      <c r="A11" s="131"/>
      <c r="B11" s="34" t="s">
        <v>4</v>
      </c>
      <c r="C11" s="57">
        <f>(5+8)/C10*100</f>
        <v>100</v>
      </c>
      <c r="D11" s="58">
        <f>(8+4)/D10*100</f>
        <v>85.714285714285708</v>
      </c>
      <c r="E11" s="58">
        <f>(5+7)/E10*100</f>
        <v>85.714285714285708</v>
      </c>
      <c r="F11" s="58">
        <f>(5+3+10)/F10*100</f>
        <v>85.714285714285708</v>
      </c>
      <c r="G11" s="57">
        <f>(5+6+3)/G10*100</f>
        <v>87.5</v>
      </c>
      <c r="H11" s="58">
        <f>(3+5+15+7)/H10*100</f>
        <v>88.235294117647058</v>
      </c>
      <c r="I11" s="58">
        <f>(7+5+5+8)/I10*100</f>
        <v>83.333333333333343</v>
      </c>
      <c r="J11" s="58">
        <f>(4+6+2+5)/J10*100</f>
        <v>65.384615384615387</v>
      </c>
      <c r="K11" s="58">
        <f>(5+2+6+10)/K10*100</f>
        <v>69.696969696969703</v>
      </c>
      <c r="L11" s="35">
        <f>AVERAGE(C11:K11)</f>
        <v>83.477007741713635</v>
      </c>
      <c r="M11" s="35">
        <f>_xlfn.STDEV.S(C11:K11)</f>
        <v>10.271903544049648</v>
      </c>
      <c r="N11" s="35">
        <f>(L11-(2.306*(M11/SQRT(9))))</f>
        <v>75.581337884187477</v>
      </c>
      <c r="O11" s="35">
        <f>(L11+(2.306*(M11/SQRT(9))))</f>
        <v>91.372677599239793</v>
      </c>
    </row>
    <row r="12" spans="1:15" x14ac:dyDescent="0.3">
      <c r="A12" s="131"/>
      <c r="B12" s="34" t="s">
        <v>5</v>
      </c>
      <c r="C12" s="58">
        <f>(4+8)/C10*100</f>
        <v>92.307692307692307</v>
      </c>
      <c r="D12" s="58">
        <f>(8+4)/D10*100</f>
        <v>85.714285714285708</v>
      </c>
      <c r="E12" s="58">
        <f>(4+6)/E10*100</f>
        <v>71.428571428571431</v>
      </c>
      <c r="F12" s="58">
        <f>(5+2+6)/F10*100</f>
        <v>61.904761904761905</v>
      </c>
      <c r="G12" s="57">
        <f>(4+5+3)/G10*100</f>
        <v>75</v>
      </c>
      <c r="H12" s="58">
        <f>(2+5+13+7)/H10*100</f>
        <v>79.411764705882348</v>
      </c>
      <c r="I12" s="57">
        <f>(7+5+4+8)/I10*100</f>
        <v>80</v>
      </c>
      <c r="J12" s="58">
        <f>(4+6+2+5)/J10*100</f>
        <v>65.384615384615387</v>
      </c>
      <c r="K12" s="57" t="s">
        <v>7</v>
      </c>
      <c r="L12" s="35">
        <f t="shared" ref="L12:L30" si="0">AVERAGE(C12:K12)</f>
        <v>76.393961430726137</v>
      </c>
      <c r="M12" s="35">
        <f t="shared" ref="M12:M30" si="1">_xlfn.STDEV.S(C12:K12)</f>
        <v>10.141616915011372</v>
      </c>
      <c r="N12" s="35">
        <f t="shared" ref="N12:N30" si="2">(L12-(2.306*(M12/SQRT(9))))</f>
        <v>68.598438562054056</v>
      </c>
      <c r="O12" s="35">
        <f t="shared" ref="O12:O30" si="3">(L12+(2.306*(M12/SQRT(9))))</f>
        <v>84.189484299398217</v>
      </c>
    </row>
    <row r="13" spans="1:15" x14ac:dyDescent="0.3">
      <c r="A13" s="131"/>
      <c r="B13" s="34" t="s">
        <v>20</v>
      </c>
      <c r="C13" s="58">
        <f>(4+7)/C10*100</f>
        <v>84.615384615384613</v>
      </c>
      <c r="D13" s="58">
        <f>(8+3)/D10*100</f>
        <v>78.571428571428569</v>
      </c>
      <c r="E13" s="58">
        <f>(4+5)/E10*100</f>
        <v>64.285714285714292</v>
      </c>
      <c r="F13" s="58">
        <f>(5+2+3)/F10*100</f>
        <v>47.619047619047613</v>
      </c>
      <c r="G13" s="57">
        <f>(3+5+2)/G10*100</f>
        <v>62.5</v>
      </c>
      <c r="H13" s="58">
        <f>(2+4+10+5)/H10*100</f>
        <v>61.764705882352942</v>
      </c>
      <c r="I13" s="57">
        <f>(7+5+3+6)/I10*100</f>
        <v>70</v>
      </c>
      <c r="J13" s="57" t="s">
        <v>7</v>
      </c>
      <c r="K13" s="57" t="s">
        <v>7</v>
      </c>
      <c r="L13" s="35">
        <f t="shared" si="0"/>
        <v>67.05089728198972</v>
      </c>
      <c r="M13" s="35">
        <f t="shared" si="1"/>
        <v>12.136917285896777</v>
      </c>
      <c r="N13" s="35">
        <f t="shared" si="2"/>
        <v>57.721653528230398</v>
      </c>
      <c r="O13" s="35">
        <f t="shared" si="3"/>
        <v>76.380141035749048</v>
      </c>
    </row>
    <row r="14" spans="1:15" x14ac:dyDescent="0.3">
      <c r="A14" s="131"/>
      <c r="B14" s="34" t="s">
        <v>8</v>
      </c>
      <c r="C14" s="58">
        <f>(1+5)/C10*100</f>
        <v>46.153846153846153</v>
      </c>
      <c r="D14" s="58">
        <f>(2+4)/D10*100</f>
        <v>42.857142857142854</v>
      </c>
      <c r="E14" s="58">
        <f>(2+2)/E10*100</f>
        <v>28.571428571428569</v>
      </c>
      <c r="F14" s="58">
        <f>(2+1+2)/F10*100</f>
        <v>23.809523809523807</v>
      </c>
      <c r="G14" s="57">
        <f>(3+4+2)/G10*100</f>
        <v>56.25</v>
      </c>
      <c r="H14" s="58">
        <f>(2+3+7+3)/H10*100</f>
        <v>44.117647058823529</v>
      </c>
      <c r="I14" s="59">
        <f>(1)/I10*100</f>
        <v>3.3333333333333335</v>
      </c>
      <c r="J14" s="57" t="s">
        <v>7</v>
      </c>
      <c r="K14" s="57" t="s">
        <v>7</v>
      </c>
      <c r="L14" s="35">
        <f>AVERAGE(C14:H14)</f>
        <v>40.293264741794154</v>
      </c>
      <c r="M14" s="35">
        <f>_xlfn.STDEV.S(C14:H14)</f>
        <v>11.993984692436683</v>
      </c>
      <c r="N14" s="35">
        <f t="shared" si="2"/>
        <v>31.073888508207823</v>
      </c>
      <c r="O14" s="35">
        <f t="shared" si="3"/>
        <v>49.512640975380485</v>
      </c>
    </row>
    <row r="15" spans="1:15" x14ac:dyDescent="0.3">
      <c r="A15" s="131"/>
      <c r="B15" s="34" t="s">
        <v>9</v>
      </c>
      <c r="C15" s="58">
        <f>(2+5)/C10*100</f>
        <v>53.846153846153847</v>
      </c>
      <c r="D15" s="58">
        <f>(6+4)/D10*100</f>
        <v>71.428571428571431</v>
      </c>
      <c r="E15" s="58">
        <f>(3+2)/E10*100</f>
        <v>35.714285714285715</v>
      </c>
      <c r="F15" s="58">
        <f>(2+1+2)/F10*100</f>
        <v>23.809523809523807</v>
      </c>
      <c r="G15" s="57">
        <f>(3+5+2)/G10*100</f>
        <v>62.5</v>
      </c>
      <c r="H15" s="57" t="s">
        <v>7</v>
      </c>
      <c r="I15" s="57" t="s">
        <v>7</v>
      </c>
      <c r="J15" s="57" t="s">
        <v>7</v>
      </c>
      <c r="K15" s="57" t="s">
        <v>7</v>
      </c>
      <c r="L15" s="35">
        <f t="shared" si="0"/>
        <v>49.459706959706963</v>
      </c>
      <c r="M15" s="35">
        <f t="shared" si="1"/>
        <v>19.485826039506822</v>
      </c>
      <c r="N15" s="35">
        <f t="shared" si="2"/>
        <v>34.481602010672717</v>
      </c>
      <c r="O15" s="35">
        <f t="shared" si="3"/>
        <v>64.43781190874121</v>
      </c>
    </row>
    <row r="16" spans="1:15" x14ac:dyDescent="0.3">
      <c r="A16" s="132"/>
      <c r="B16" s="34" t="s">
        <v>6</v>
      </c>
      <c r="C16" s="58">
        <f>(3+5)/C10*100</f>
        <v>61.53846153846154</v>
      </c>
      <c r="D16" s="58">
        <f>(6+4)/D10*100</f>
        <v>71.428571428571431</v>
      </c>
      <c r="E16" s="58">
        <f>(3+3)/E10*100</f>
        <v>42.857142857142854</v>
      </c>
      <c r="F16" s="58">
        <f>(3+1+2)/F10*100</f>
        <v>28.571428571428569</v>
      </c>
      <c r="G16" s="57" t="s">
        <v>7</v>
      </c>
      <c r="H16" s="57" t="s">
        <v>7</v>
      </c>
      <c r="I16" s="57" t="s">
        <v>7</v>
      </c>
      <c r="J16" s="57" t="s">
        <v>7</v>
      </c>
      <c r="K16" s="57" t="s">
        <v>7</v>
      </c>
      <c r="L16" s="35">
        <f t="shared" si="0"/>
        <v>51.098901098901095</v>
      </c>
      <c r="M16" s="35">
        <f t="shared" si="1"/>
        <v>19.128456247834293</v>
      </c>
      <c r="N16" s="35">
        <f t="shared" si="2"/>
        <v>36.395494396399137</v>
      </c>
      <c r="O16" s="35">
        <f t="shared" si="3"/>
        <v>65.80230780140306</v>
      </c>
    </row>
    <row r="17" spans="1:15" x14ac:dyDescent="0.3">
      <c r="A17" s="133" t="s">
        <v>75</v>
      </c>
      <c r="B17" s="75" t="s">
        <v>80</v>
      </c>
      <c r="C17" s="75">
        <f>21+17+10+14</f>
        <v>62</v>
      </c>
      <c r="D17" s="75">
        <f>(15+27+32+13+3)</f>
        <v>90</v>
      </c>
      <c r="E17" s="75">
        <f>(18+27+26+9+9)</f>
        <v>89</v>
      </c>
      <c r="F17" s="75">
        <f>18+48+18+9+19</f>
        <v>112</v>
      </c>
      <c r="G17" s="75">
        <f>17+20+42+19+10+21</f>
        <v>129</v>
      </c>
      <c r="H17" s="75">
        <f>5+11+31+43+12+36</f>
        <v>138</v>
      </c>
      <c r="I17" s="75">
        <f>9+11+43+26+9+27</f>
        <v>125</v>
      </c>
      <c r="J17" s="75">
        <f>10+21+24+34+7+28</f>
        <v>124</v>
      </c>
      <c r="K17" s="75">
        <f>16+7+32+26+13+28</f>
        <v>122</v>
      </c>
      <c r="L17" s="76">
        <f>AVERAGE(C17:K17)</f>
        <v>110.11111111111111</v>
      </c>
      <c r="M17" s="76">
        <f>_xlfn.STDEV.S(C17:K17)</f>
        <v>24.644697423809269</v>
      </c>
      <c r="N17" s="76">
        <f t="shared" si="2"/>
        <v>91.167553691343059</v>
      </c>
      <c r="O17" s="76">
        <f t="shared" si="3"/>
        <v>129.05466853087918</v>
      </c>
    </row>
    <row r="18" spans="1:15" x14ac:dyDescent="0.3">
      <c r="A18" s="134"/>
      <c r="B18" s="77" t="s">
        <v>4</v>
      </c>
      <c r="C18" s="78">
        <f>(20+13+8+10)/C17*100</f>
        <v>82.258064516129039</v>
      </c>
      <c r="D18" s="78">
        <f>(13+23+27+11+3)/D17*100</f>
        <v>85.555555555555557</v>
      </c>
      <c r="E18" s="78">
        <f>(10+21+23+7+8)/E17*100</f>
        <v>77.528089887640448</v>
      </c>
      <c r="F18" s="78">
        <f>(16+43+15+8+13)/F17*100</f>
        <v>84.821428571428569</v>
      </c>
      <c r="G18" s="78">
        <f>(17+19+32+14+6+20)/G17*100</f>
        <v>83.720930232558146</v>
      </c>
      <c r="H18" s="78">
        <f>(5+9+30+33+10+26)/H17*100</f>
        <v>81.884057971014485</v>
      </c>
      <c r="I18" s="78">
        <f>(7+8+39+20+8+22)/I17*100</f>
        <v>83.2</v>
      </c>
      <c r="J18" s="78">
        <f>(10+20+15+28+6+28)/J17*100</f>
        <v>86.290322580645167</v>
      </c>
      <c r="K18" s="78">
        <f>(16+7+28+23+12+23)/K17*100</f>
        <v>89.344262295081961</v>
      </c>
      <c r="L18" s="79">
        <f t="shared" si="0"/>
        <v>83.84474573445037</v>
      </c>
      <c r="M18" s="79">
        <f t="shared" si="1"/>
        <v>3.2939211120874345</v>
      </c>
      <c r="N18" s="79">
        <f t="shared" si="2"/>
        <v>81.312818372959157</v>
      </c>
      <c r="O18" s="79">
        <f t="shared" si="3"/>
        <v>86.376673095941584</v>
      </c>
    </row>
    <row r="19" spans="1:15" x14ac:dyDescent="0.3">
      <c r="A19" s="134"/>
      <c r="B19" s="77" t="s">
        <v>5</v>
      </c>
      <c r="C19" s="78">
        <f>(20+13+7+10)/C17*100</f>
        <v>80.645161290322577</v>
      </c>
      <c r="D19" s="78">
        <f>(13+23+25+9+3)/D17*100</f>
        <v>81.111111111111114</v>
      </c>
      <c r="E19" s="78">
        <f>(12+19+22+8+6)/E17*100</f>
        <v>75.280898876404493</v>
      </c>
      <c r="F19" s="78">
        <f>(16+38+14+8+13)/F17*100</f>
        <v>79.464285714285708</v>
      </c>
      <c r="G19" s="78">
        <f>(17+17+31+12+6+18)/G17*100</f>
        <v>78.294573643410843</v>
      </c>
      <c r="H19" s="78">
        <f>(5+7+29+26+10+21)/H17*100</f>
        <v>71.014492753623188</v>
      </c>
      <c r="I19" s="78">
        <f>(6+7+36+18+6+21)/I17*100</f>
        <v>75.2</v>
      </c>
      <c r="J19" s="78">
        <f>(10+19+15+25+6+27)/J17*100</f>
        <v>82.258064516129039</v>
      </c>
      <c r="K19" s="78" t="s">
        <v>7</v>
      </c>
      <c r="L19" s="79">
        <f t="shared" si="0"/>
        <v>77.908573488160869</v>
      </c>
      <c r="M19" s="79">
        <f t="shared" si="1"/>
        <v>3.7985309615025709</v>
      </c>
      <c r="N19" s="79">
        <f t="shared" si="2"/>
        <v>74.988769355752552</v>
      </c>
      <c r="O19" s="79">
        <f t="shared" si="3"/>
        <v>80.828377620569185</v>
      </c>
    </row>
    <row r="20" spans="1:15" x14ac:dyDescent="0.3">
      <c r="A20" s="134"/>
      <c r="B20" s="77" t="s">
        <v>20</v>
      </c>
      <c r="C20" s="78">
        <f>(19+14+6+9)/C17*100</f>
        <v>77.41935483870968</v>
      </c>
      <c r="D20" s="78">
        <f>(11+23+23+9+3)/D17*100</f>
        <v>76.666666666666671</v>
      </c>
      <c r="E20" s="78">
        <f>(12+16+22+7+6)/E17*100</f>
        <v>70.786516853932582</v>
      </c>
      <c r="F20" s="78">
        <f>(16+37+12+6+10)/F17*100</f>
        <v>72.321428571428569</v>
      </c>
      <c r="G20" s="78">
        <f>(17+16+33+11+6+15)/G17*100</f>
        <v>75.968992248062023</v>
      </c>
      <c r="H20" s="78">
        <f>(3+7+28+21+10+18)/H17*100</f>
        <v>63.04347826086957</v>
      </c>
      <c r="I20" s="78">
        <f>(7+8+32+15+6+21)/I17*100</f>
        <v>71.2</v>
      </c>
      <c r="J20" s="78" t="s">
        <v>7</v>
      </c>
      <c r="K20" s="78" t="s">
        <v>7</v>
      </c>
      <c r="L20" s="79">
        <f t="shared" si="0"/>
        <v>72.486633919952723</v>
      </c>
      <c r="M20" s="79">
        <f t="shared" si="1"/>
        <v>4.9611412571822733</v>
      </c>
      <c r="N20" s="79">
        <f t="shared" si="2"/>
        <v>68.673170006931954</v>
      </c>
      <c r="O20" s="79">
        <f t="shared" si="3"/>
        <v>76.300097832973492</v>
      </c>
    </row>
    <row r="21" spans="1:15" x14ac:dyDescent="0.3">
      <c r="A21" s="134"/>
      <c r="B21" s="77" t="s">
        <v>8</v>
      </c>
      <c r="C21" s="78">
        <f>(16+12+2+10)/C17*100</f>
        <v>64.516129032258064</v>
      </c>
      <c r="D21" s="78">
        <f>(9+19+21+4+3)/D17*100</f>
        <v>62.222222222222221</v>
      </c>
      <c r="E21" s="78">
        <f>(9+12+14+3+6)/E17*100</f>
        <v>49.438202247191008</v>
      </c>
      <c r="F21" s="78">
        <f>(13+30+12+2+8)/F17*100</f>
        <v>58.035714285714292</v>
      </c>
      <c r="G21" s="78">
        <f>(15+7+26+12+6+13)/G17*100</f>
        <v>61.240310077519375</v>
      </c>
      <c r="H21" s="78">
        <f>(4+3+20+16+4+11)/H17*100</f>
        <v>42.028985507246375</v>
      </c>
      <c r="I21" s="80">
        <f>(3+1+1)/I17*100</f>
        <v>4</v>
      </c>
      <c r="J21" s="80">
        <f>(1)/J17*100</f>
        <v>0.80645161290322576</v>
      </c>
      <c r="K21" s="78" t="s">
        <v>7</v>
      </c>
      <c r="L21" s="79">
        <f>AVERAGE(C21:H21)</f>
        <v>56.246927228691895</v>
      </c>
      <c r="M21" s="79">
        <f>_xlfn.STDEV.S(C21:H21)</f>
        <v>8.7261226533470477</v>
      </c>
      <c r="N21" s="79">
        <f t="shared" si="2"/>
        <v>49.539447615819128</v>
      </c>
      <c r="O21" s="79">
        <f t="shared" si="3"/>
        <v>62.954406841564662</v>
      </c>
    </row>
    <row r="22" spans="1:15" x14ac:dyDescent="0.3">
      <c r="A22" s="134"/>
      <c r="B22" s="77" t="s">
        <v>9</v>
      </c>
      <c r="C22" s="78">
        <f>(16+13+2+10)/C17*100</f>
        <v>66.129032258064512</v>
      </c>
      <c r="D22" s="78">
        <f>(10+23+24+6+3)/D17*100</f>
        <v>73.333333333333329</v>
      </c>
      <c r="E22" s="78">
        <f>(11+13+19+5+7)/E17*100</f>
        <v>61.797752808988761</v>
      </c>
      <c r="F22" s="78">
        <f>(15+34+13+4+10)/F17*100</f>
        <v>67.857142857142861</v>
      </c>
      <c r="G22" s="78">
        <f>(15+11+30+13+6+14)/G17*100</f>
        <v>68.992248062015506</v>
      </c>
      <c r="H22" s="78" t="s">
        <v>7</v>
      </c>
      <c r="I22" s="78" t="s">
        <v>7</v>
      </c>
      <c r="J22" s="78" t="s">
        <v>7</v>
      </c>
      <c r="K22" s="78" t="s">
        <v>7</v>
      </c>
      <c r="L22" s="79">
        <f t="shared" si="0"/>
        <v>67.621901863908988</v>
      </c>
      <c r="M22" s="79">
        <f t="shared" si="1"/>
        <v>4.2042540459478586</v>
      </c>
      <c r="N22" s="79">
        <f t="shared" si="2"/>
        <v>64.390231920590395</v>
      </c>
      <c r="O22" s="79">
        <f t="shared" si="3"/>
        <v>70.853571807227581</v>
      </c>
    </row>
    <row r="23" spans="1:15" x14ac:dyDescent="0.3">
      <c r="A23" s="135"/>
      <c r="B23" s="77" t="s">
        <v>6</v>
      </c>
      <c r="C23" s="78">
        <f>(16+13+3+10)/C17*100</f>
        <v>67.741935483870961</v>
      </c>
      <c r="D23" s="78">
        <f>(11+23+24+6+3)/D17*100</f>
        <v>74.444444444444443</v>
      </c>
      <c r="E23" s="78">
        <f>(12+14+22+6+8)/E17*100</f>
        <v>69.662921348314612</v>
      </c>
      <c r="F23" s="78">
        <f>(15+35+13+5+10)/F17*100</f>
        <v>69.642857142857139</v>
      </c>
      <c r="G23" s="78" t="s">
        <v>7</v>
      </c>
      <c r="H23" s="78" t="s">
        <v>7</v>
      </c>
      <c r="I23" s="78" t="s">
        <v>7</v>
      </c>
      <c r="J23" s="78" t="s">
        <v>7</v>
      </c>
      <c r="K23" s="78" t="s">
        <v>7</v>
      </c>
      <c r="L23" s="79">
        <f t="shared" si="0"/>
        <v>70.373039604871792</v>
      </c>
      <c r="M23" s="79">
        <f t="shared" si="1"/>
        <v>2.8598648353475697</v>
      </c>
      <c r="N23" s="79">
        <f t="shared" si="2"/>
        <v>68.174756834767962</v>
      </c>
      <c r="O23" s="79">
        <f t="shared" si="3"/>
        <v>72.571322374975622</v>
      </c>
    </row>
    <row r="24" spans="1:15" x14ac:dyDescent="0.3">
      <c r="A24" s="136" t="s">
        <v>76</v>
      </c>
      <c r="B24" s="46" t="s">
        <v>80</v>
      </c>
      <c r="C24" s="46">
        <f>31+12+8+16+1</f>
        <v>68</v>
      </c>
      <c r="D24" s="46">
        <f>12+38+15+12</f>
        <v>77</v>
      </c>
      <c r="E24" s="46">
        <f>9+39+25+34+17</f>
        <v>124</v>
      </c>
      <c r="F24" s="46">
        <f>35+18+34+21+13</f>
        <v>121</v>
      </c>
      <c r="G24" s="46">
        <f>13+40+21+28+16+29</f>
        <v>147</v>
      </c>
      <c r="H24" s="46">
        <f>6+25+23+15+10+16</f>
        <v>95</v>
      </c>
      <c r="I24" s="46">
        <f>2+24+29+35+13+23</f>
        <v>126</v>
      </c>
      <c r="J24" s="46">
        <f>7+31+27+35+16+19</f>
        <v>135</v>
      </c>
      <c r="K24" s="46">
        <f>16+36+33+35+17+9</f>
        <v>146</v>
      </c>
      <c r="L24" s="47">
        <f>AVERAGE(C24:K24)</f>
        <v>115.44444444444444</v>
      </c>
      <c r="M24" s="47">
        <f>_xlfn.STDEV.S(C24:K24)</f>
        <v>28.883867084893211</v>
      </c>
      <c r="N24" s="47">
        <f t="shared" si="2"/>
        <v>93.242378611856523</v>
      </c>
      <c r="O24" s="47">
        <f t="shared" si="3"/>
        <v>137.64651027703235</v>
      </c>
    </row>
    <row r="25" spans="1:15" x14ac:dyDescent="0.3">
      <c r="A25" s="137"/>
      <c r="B25" s="36" t="s">
        <v>4</v>
      </c>
      <c r="C25" s="50">
        <f>(24+9+6+11+1)/C24*100</f>
        <v>75</v>
      </c>
      <c r="D25" s="50">
        <f>(11+36+15+10)/D24*100</f>
        <v>93.506493506493499</v>
      </c>
      <c r="E25" s="50">
        <f>(7+32+22+28+12)/E24*100</f>
        <v>81.451612903225808</v>
      </c>
      <c r="F25" s="50">
        <f>(30+17+27+16+11)/F24*100</f>
        <v>83.471074380165291</v>
      </c>
      <c r="G25" s="50">
        <f>(9+34+18+27+13+22)/G24*100</f>
        <v>83.673469387755105</v>
      </c>
      <c r="H25" s="50">
        <f>(4+22+22+12+7+14)/H24*100</f>
        <v>85.263157894736835</v>
      </c>
      <c r="I25" s="50">
        <f>(2+19+21+31+10+20)/I24*100</f>
        <v>81.746031746031747</v>
      </c>
      <c r="J25" s="50">
        <f>(6+28+24+30+15+16)/J24*100</f>
        <v>88.148148148148152</v>
      </c>
      <c r="K25" s="50">
        <f>(14+30+29+31+15+8)/K24*100</f>
        <v>86.986301369863014</v>
      </c>
      <c r="L25" s="37">
        <f t="shared" si="0"/>
        <v>84.360698815157718</v>
      </c>
      <c r="M25" s="37">
        <f t="shared" si="1"/>
        <v>5.1220627815646269</v>
      </c>
      <c r="N25" s="37">
        <f t="shared" si="2"/>
        <v>80.423539890395048</v>
      </c>
      <c r="O25" s="37">
        <f t="shared" si="3"/>
        <v>88.297857739920389</v>
      </c>
    </row>
    <row r="26" spans="1:15" x14ac:dyDescent="0.3">
      <c r="A26" s="137"/>
      <c r="B26" s="36" t="s">
        <v>5</v>
      </c>
      <c r="C26" s="50">
        <f>(23+8+6+11+1)/C24*100</f>
        <v>72.058823529411768</v>
      </c>
      <c r="D26" s="50">
        <f>(10+33+14+7)/D24*100</f>
        <v>83.116883116883116</v>
      </c>
      <c r="E26" s="50">
        <f>(4+31+20+26+11)/E24*100</f>
        <v>74.193548387096769</v>
      </c>
      <c r="F26" s="50">
        <f>(25+15+26+14+10)/F24*100</f>
        <v>74.380165289256198</v>
      </c>
      <c r="G26" s="50">
        <f>(8+32+16+25+13+22)/G24*100</f>
        <v>78.911564625850332</v>
      </c>
      <c r="H26" s="50">
        <f>(3+21+21+12+7+14)/H24*100</f>
        <v>82.10526315789474</v>
      </c>
      <c r="I26" s="50">
        <f>(2+19+19+28+5+18)/I24*100</f>
        <v>72.222222222222214</v>
      </c>
      <c r="J26" s="50">
        <f>(5+22+24+24+12+11)/J24*100</f>
        <v>72.592592592592595</v>
      </c>
      <c r="K26" s="50" t="s">
        <v>7</v>
      </c>
      <c r="L26" s="37">
        <f t="shared" si="0"/>
        <v>76.197632865150965</v>
      </c>
      <c r="M26" s="37">
        <f t="shared" si="1"/>
        <v>4.5259732366556022</v>
      </c>
      <c r="N26" s="37">
        <f t="shared" si="2"/>
        <v>72.718668103908357</v>
      </c>
      <c r="O26" s="37">
        <f t="shared" si="3"/>
        <v>79.676597626393573</v>
      </c>
    </row>
    <row r="27" spans="1:15" x14ac:dyDescent="0.3">
      <c r="A27" s="137"/>
      <c r="B27" s="36" t="s">
        <v>20</v>
      </c>
      <c r="C27" s="50">
        <f>(22+8+6+10+1)/C24*100</f>
        <v>69.117647058823522</v>
      </c>
      <c r="D27" s="50">
        <f>(10+31+14+7)/D24*100</f>
        <v>80.519480519480524</v>
      </c>
      <c r="E27" s="50">
        <f>(4+28+19+26+11)/E24*100</f>
        <v>70.967741935483872</v>
      </c>
      <c r="F27" s="50">
        <f>(24+13+26+13+10)/F24*100</f>
        <v>71.074380165289256</v>
      </c>
      <c r="G27" s="50">
        <f>(7+33+14+25+12+22)/G24*100</f>
        <v>76.870748299319729</v>
      </c>
      <c r="H27" s="50">
        <f>(3+21+21+12+6+15)/H24*100</f>
        <v>82.10526315789474</v>
      </c>
      <c r="I27" s="50">
        <f>(1+15+18+25+5+17)/I24*100</f>
        <v>64.285714285714292</v>
      </c>
      <c r="J27" s="50" t="s">
        <v>7</v>
      </c>
      <c r="K27" s="50" t="s">
        <v>7</v>
      </c>
      <c r="L27" s="37">
        <f t="shared" si="0"/>
        <v>73.562996488857991</v>
      </c>
      <c r="M27" s="37">
        <f t="shared" si="1"/>
        <v>6.4686663487341276</v>
      </c>
      <c r="N27" s="37">
        <f t="shared" si="2"/>
        <v>68.590748288797698</v>
      </c>
      <c r="O27" s="37">
        <f t="shared" si="3"/>
        <v>78.535244688918283</v>
      </c>
    </row>
    <row r="28" spans="1:15" x14ac:dyDescent="0.3">
      <c r="A28" s="137"/>
      <c r="B28" s="36" t="s">
        <v>8</v>
      </c>
      <c r="C28" s="50">
        <f>(16+6+6+8)/C24*100</f>
        <v>52.941176470588239</v>
      </c>
      <c r="D28" s="50">
        <f>(9+27+12+4)/D24*100</f>
        <v>67.532467532467535</v>
      </c>
      <c r="E28" s="50">
        <f>(4+21+15+19+8)/E24*100</f>
        <v>54.032258064516128</v>
      </c>
      <c r="F28" s="50">
        <f>(20+9+20+10+4)/F24*100</f>
        <v>52.066115702479344</v>
      </c>
      <c r="G28" s="50">
        <f>(4+26+13+18+8+16)/G24*100</f>
        <v>57.823129251700678</v>
      </c>
      <c r="H28" s="50">
        <f>(1+19+17+9+5+10)/H24*100</f>
        <v>64.21052631578948</v>
      </c>
      <c r="I28" s="51">
        <f>(2+1)/I24*100</f>
        <v>2.3809523809523809</v>
      </c>
      <c r="J28" s="51">
        <f>(1+1+1)/J24*100</f>
        <v>2.2222222222222223</v>
      </c>
      <c r="K28" s="51">
        <f>(1)/K24*100</f>
        <v>0.68493150684931503</v>
      </c>
      <c r="L28" s="37">
        <f>AVERAGE(C28:H28)</f>
        <v>58.100945556256903</v>
      </c>
      <c r="M28" s="37">
        <f>_xlfn.STDEV.S(C28:H28)</f>
        <v>6.4180117175178353</v>
      </c>
      <c r="N28" s="37">
        <f t="shared" si="2"/>
        <v>53.167633882724857</v>
      </c>
      <c r="O28" s="37">
        <f t="shared" si="3"/>
        <v>63.034257229788949</v>
      </c>
    </row>
    <row r="29" spans="1:15" x14ac:dyDescent="0.3">
      <c r="A29" s="137"/>
      <c r="B29" s="36" t="s">
        <v>9</v>
      </c>
      <c r="C29" s="50">
        <f>(21+7+6+9)/C24*100</f>
        <v>63.235294117647058</v>
      </c>
      <c r="D29" s="50">
        <f>(10+28+13+5)/D24*100</f>
        <v>72.727272727272734</v>
      </c>
      <c r="E29" s="50">
        <f>(4+24+16+19+10)/E24*100</f>
        <v>58.870967741935488</v>
      </c>
      <c r="F29" s="50">
        <f>(24+10+20+11+6)/F24*100</f>
        <v>58.677685950413228</v>
      </c>
      <c r="G29" s="50">
        <f>(7+29+13+24+9+17)/G24*100</f>
        <v>67.346938775510196</v>
      </c>
      <c r="H29" s="50" t="s">
        <v>7</v>
      </c>
      <c r="I29" s="50" t="s">
        <v>7</v>
      </c>
      <c r="J29" s="50" t="s">
        <v>7</v>
      </c>
      <c r="K29" s="50" t="s">
        <v>7</v>
      </c>
      <c r="L29" s="37">
        <f t="shared" si="0"/>
        <v>64.171631862555742</v>
      </c>
      <c r="M29" s="37">
        <f t="shared" si="1"/>
        <v>5.9673858341653823</v>
      </c>
      <c r="N29" s="37">
        <f t="shared" si="2"/>
        <v>59.584701284693949</v>
      </c>
      <c r="O29" s="37">
        <f t="shared" si="3"/>
        <v>68.758562440417535</v>
      </c>
    </row>
    <row r="30" spans="1:15" x14ac:dyDescent="0.3">
      <c r="A30" s="138"/>
      <c r="B30" s="36" t="s">
        <v>6</v>
      </c>
      <c r="C30" s="50">
        <f>(21+8+6+9)/C24*100</f>
        <v>64.705882352941174</v>
      </c>
      <c r="D30" s="50">
        <f>(10+29+13+5)/D24*100</f>
        <v>74.025974025974023</v>
      </c>
      <c r="E30" s="50">
        <f>(5+26+17+21+10)/E24*100</f>
        <v>63.70967741935484</v>
      </c>
      <c r="F30" s="50">
        <f>(24+10+21+11+8)/F24*100</f>
        <v>61.157024793388423</v>
      </c>
      <c r="G30" s="50" t="s">
        <v>7</v>
      </c>
      <c r="H30" s="50" t="s">
        <v>7</v>
      </c>
      <c r="I30" s="50" t="s">
        <v>7</v>
      </c>
      <c r="J30" s="50" t="s">
        <v>7</v>
      </c>
      <c r="K30" s="50" t="s">
        <v>7</v>
      </c>
      <c r="L30" s="37">
        <f t="shared" si="0"/>
        <v>65.899639647914626</v>
      </c>
      <c r="M30" s="37">
        <f t="shared" si="1"/>
        <v>5.6199257742495572</v>
      </c>
      <c r="N30" s="37">
        <f t="shared" si="2"/>
        <v>61.579790036108136</v>
      </c>
      <c r="O30" s="37">
        <f t="shared" si="3"/>
        <v>70.219489259721115</v>
      </c>
    </row>
    <row r="31" spans="1:15" x14ac:dyDescent="0.3">
      <c r="A31" s="9" t="s">
        <v>25</v>
      </c>
      <c r="B31" s="9"/>
    </row>
  </sheetData>
  <mergeCells count="7">
    <mergeCell ref="A6:B6"/>
    <mergeCell ref="A10:A16"/>
    <mergeCell ref="A17:A23"/>
    <mergeCell ref="A24:A30"/>
    <mergeCell ref="N8:O8"/>
    <mergeCell ref="C8:K8"/>
    <mergeCell ref="L8:M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Ret. y Efic. Term. Sist. CETYS</vt:lpstr>
      <vt:lpstr>Dist. de Género Sistema CETYS</vt:lpstr>
      <vt:lpstr>Conclusiones Sistema CETYS</vt:lpstr>
      <vt:lpstr>Ret. y Efic. Term. por Colegio</vt:lpstr>
      <vt:lpstr>Género por Colegio</vt:lpstr>
      <vt:lpstr>Conclusiones por Colegio</vt:lpstr>
      <vt:lpstr>Ret. y Efic. AYN por Campus</vt:lpstr>
      <vt:lpstr>Ret. y Efic. CSYH por Campus </vt:lpstr>
      <vt:lpstr>Ret. y Efic. ING por Campus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Vargas</dc:creator>
  <cp:lastModifiedBy>Dr.Esther.Mulnix</cp:lastModifiedBy>
  <cp:lastPrinted>2013-03-08T16:52:42Z</cp:lastPrinted>
  <dcterms:created xsi:type="dcterms:W3CDTF">2012-11-23T19:04:52Z</dcterms:created>
  <dcterms:modified xsi:type="dcterms:W3CDTF">2014-03-01T00:22:46Z</dcterms:modified>
</cp:coreProperties>
</file>